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dley.c.marshall\Downloads\Free Files\"/>
    </mc:Choice>
  </mc:AlternateContent>
  <xr:revisionPtr revIDLastSave="0" documentId="13_ncr:1_{D3C6D464-0B60-41BE-A9AA-266175D3B95C}" xr6:coauthVersionLast="47" xr6:coauthVersionMax="47" xr10:uidLastSave="{00000000-0000-0000-0000-000000000000}"/>
  <bookViews>
    <workbookView xWindow="-110" yWindow="-110" windowWidth="19420" windowHeight="11500" tabRatio="908" xr2:uid="{00000000-000D-0000-FFFF-FFFF00000000}"/>
  </bookViews>
  <sheets>
    <sheet name="Instructions" sheetId="14" r:id="rId1"/>
    <sheet name="Generic Plan" sheetId="12" r:id="rId2"/>
    <sheet name="SummaryofTabs" sheetId="11" r:id="rId3"/>
    <sheet name="Branding" sheetId="9" r:id="rId4"/>
    <sheet name="Print, Radio, &amp; TV" sheetId="8" r:id="rId5"/>
    <sheet name="Mail &amp; eMail" sheetId="7" r:id="rId6"/>
    <sheet name="PayPerClick &amp; Banner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9" l="1"/>
  <c r="E9" i="9"/>
  <c r="E10" i="9"/>
  <c r="E11" i="9"/>
  <c r="C14" i="9"/>
  <c r="D17" i="9"/>
  <c r="D18" i="9"/>
  <c r="D19" i="9" s="1"/>
  <c r="C19" i="9"/>
  <c r="D21" i="9"/>
  <c r="C22" i="9"/>
  <c r="C24" i="9"/>
  <c r="D28" i="9"/>
  <c r="D29" i="9"/>
  <c r="E29" i="9" s="1"/>
  <c r="C30" i="9"/>
  <c r="C32" i="9" s="1"/>
  <c r="D31" i="9"/>
  <c r="C34" i="9"/>
  <c r="D38" i="9"/>
  <c r="D39" i="9"/>
  <c r="C40" i="9"/>
  <c r="C42" i="9" s="1"/>
  <c r="D41" i="9"/>
  <c r="C44" i="9"/>
  <c r="D48" i="9"/>
  <c r="E48" i="9" s="1"/>
  <c r="D49" i="9"/>
  <c r="C50" i="9"/>
  <c r="C52" i="9" s="1"/>
  <c r="D51" i="9"/>
  <c r="C54" i="9"/>
  <c r="I6" i="12"/>
  <c r="I27" i="12" s="1"/>
  <c r="I7" i="12"/>
  <c r="D13" i="12"/>
  <c r="E13" i="12"/>
  <c r="F13" i="12"/>
  <c r="G13" i="12"/>
  <c r="H13" i="12"/>
  <c r="D14" i="12"/>
  <c r="E14" i="12"/>
  <c r="E15" i="12" s="1"/>
  <c r="F14" i="12"/>
  <c r="F15" i="12" s="1"/>
  <c r="G14" i="12"/>
  <c r="G15" i="12" s="1"/>
  <c r="G16" i="12" s="1"/>
  <c r="H14" i="12"/>
  <c r="H15" i="12" s="1"/>
  <c r="H16" i="12" s="1"/>
  <c r="D18" i="12"/>
  <c r="E18" i="12"/>
  <c r="F18" i="12"/>
  <c r="G18" i="12"/>
  <c r="H18" i="12"/>
  <c r="H23" i="12"/>
  <c r="D26" i="12"/>
  <c r="E26" i="12"/>
  <c r="F26" i="12"/>
  <c r="G26" i="12"/>
  <c r="H26" i="12"/>
  <c r="D27" i="12"/>
  <c r="E27" i="12"/>
  <c r="F27" i="12"/>
  <c r="G27" i="12"/>
  <c r="H27" i="12"/>
  <c r="D28" i="12"/>
  <c r="E28" i="12"/>
  <c r="F28" i="12"/>
  <c r="G28" i="12"/>
  <c r="H28" i="12"/>
  <c r="E16" i="7"/>
  <c r="E17" i="7" s="1"/>
  <c r="D17" i="7"/>
  <c r="D18" i="7" s="1"/>
  <c r="D21" i="7"/>
  <c r="D34" i="7" s="1"/>
  <c r="E21" i="7"/>
  <c r="E26" i="7" s="1"/>
  <c r="E25" i="7"/>
  <c r="D16" i="3"/>
  <c r="E16" i="3"/>
  <c r="E26" i="3" s="1"/>
  <c r="D17" i="3"/>
  <c r="D18" i="3" s="1"/>
  <c r="E17" i="3"/>
  <c r="E18" i="3" s="1"/>
  <c r="D21" i="3"/>
  <c r="D25" i="3" s="1"/>
  <c r="E21" i="3"/>
  <c r="E31" i="3" s="1"/>
  <c r="E25" i="3"/>
  <c r="D32" i="3"/>
  <c r="E32" i="3"/>
  <c r="D34" i="3"/>
  <c r="E34" i="3"/>
  <c r="I7" i="8"/>
  <c r="I9" i="8"/>
  <c r="I10" i="8"/>
  <c r="D16" i="8"/>
  <c r="E16" i="8"/>
  <c r="E17" i="8" s="1"/>
  <c r="E19" i="8" s="1"/>
  <c r="F16" i="8"/>
  <c r="G16" i="8"/>
  <c r="H16" i="8"/>
  <c r="H17" i="8" s="1"/>
  <c r="D17" i="8"/>
  <c r="G17" i="8"/>
  <c r="G19" i="8" s="1"/>
  <c r="D20" i="8"/>
  <c r="D25" i="8" s="1"/>
  <c r="E20" i="8"/>
  <c r="E32" i="8" s="1"/>
  <c r="F20" i="8"/>
  <c r="G20" i="8"/>
  <c r="G31" i="8" s="1"/>
  <c r="H20" i="8"/>
  <c r="D21" i="8"/>
  <c r="E21" i="8"/>
  <c r="F21" i="8"/>
  <c r="G21" i="8"/>
  <c r="H21" i="8"/>
  <c r="H25" i="8" s="1"/>
  <c r="F26" i="8"/>
  <c r="D13" i="11"/>
  <c r="E27" i="3" l="1"/>
  <c r="E35" i="7"/>
  <c r="I16" i="8"/>
  <c r="D27" i="3"/>
  <c r="E33" i="7"/>
  <c r="G23" i="12"/>
  <c r="E25" i="8"/>
  <c r="D26" i="3"/>
  <c r="D33" i="3"/>
  <c r="E33" i="3"/>
  <c r="D33" i="7"/>
  <c r="D12" i="11"/>
  <c r="D35" i="7"/>
  <c r="D31" i="7"/>
  <c r="F32" i="8"/>
  <c r="D27" i="8"/>
  <c r="D30" i="8"/>
  <c r="G25" i="8"/>
  <c r="H19" i="8"/>
  <c r="H29" i="8" s="1"/>
  <c r="H27" i="8"/>
  <c r="E26" i="8"/>
  <c r="H30" i="8"/>
  <c r="G27" i="8"/>
  <c r="H31" i="8"/>
  <c r="I20" i="8"/>
  <c r="G30" i="8"/>
  <c r="I21" i="8"/>
  <c r="I26" i="8" s="1"/>
  <c r="G26" i="8"/>
  <c r="E12" i="9"/>
  <c r="D10" i="11" s="1"/>
  <c r="D30" i="9"/>
  <c r="E30" i="9" s="1"/>
  <c r="D40" i="9"/>
  <c r="D42" i="9" s="1"/>
  <c r="E42" i="9" s="1"/>
  <c r="D10" i="9" s="1"/>
  <c r="F10" i="9" s="1"/>
  <c r="G10" i="9" s="1"/>
  <c r="D50" i="9"/>
  <c r="I14" i="12"/>
  <c r="I23" i="12" s="1"/>
  <c r="I18" i="12"/>
  <c r="D23" i="12"/>
  <c r="D15" i="12"/>
  <c r="D16" i="12" s="1"/>
  <c r="E18" i="7"/>
  <c r="E20" i="7" s="1"/>
  <c r="E27" i="7"/>
  <c r="E16" i="12"/>
  <c r="E19" i="12"/>
  <c r="E20" i="12" s="1"/>
  <c r="E21" i="12" s="1"/>
  <c r="E24" i="12"/>
  <c r="G29" i="8"/>
  <c r="G22" i="8"/>
  <c r="G23" i="8" s="1"/>
  <c r="E19" i="9"/>
  <c r="D20" i="9"/>
  <c r="E22" i="8"/>
  <c r="E23" i="8" s="1"/>
  <c r="E29" i="8"/>
  <c r="E20" i="3"/>
  <c r="E22" i="3" s="1"/>
  <c r="E23" i="3" s="1"/>
  <c r="E28" i="3"/>
  <c r="D28" i="3"/>
  <c r="D20" i="3"/>
  <c r="D20" i="7"/>
  <c r="D28" i="7"/>
  <c r="F16" i="12"/>
  <c r="F19" i="12"/>
  <c r="F20" i="12" s="1"/>
  <c r="F21" i="12" s="1"/>
  <c r="F24" i="12"/>
  <c r="H24" i="12"/>
  <c r="F23" i="12"/>
  <c r="H19" i="12"/>
  <c r="H20" i="12" s="1"/>
  <c r="H21" i="12" s="1"/>
  <c r="D19" i="12"/>
  <c r="E39" i="9"/>
  <c r="E18" i="9"/>
  <c r="F31" i="8"/>
  <c r="H32" i="8"/>
  <c r="D32" i="8"/>
  <c r="E31" i="8"/>
  <c r="F30" i="8"/>
  <c r="H26" i="8"/>
  <c r="D26" i="8"/>
  <c r="F25" i="8"/>
  <c r="D19" i="8"/>
  <c r="F17" i="8"/>
  <c r="F19" i="8" s="1"/>
  <c r="E34" i="7"/>
  <c r="E32" i="7"/>
  <c r="D27" i="7"/>
  <c r="I28" i="12"/>
  <c r="I26" i="12"/>
  <c r="G24" i="12"/>
  <c r="E23" i="12"/>
  <c r="G19" i="12"/>
  <c r="G20" i="12" s="1"/>
  <c r="G21" i="12" s="1"/>
  <c r="G32" i="8"/>
  <c r="D31" i="8"/>
  <c r="E30" i="8"/>
  <c r="E27" i="8"/>
  <c r="E31" i="7"/>
  <c r="H22" i="8" l="1"/>
  <c r="H23" i="8" s="1"/>
  <c r="D11" i="11"/>
  <c r="D14" i="11"/>
  <c r="I25" i="8"/>
  <c r="D32" i="9"/>
  <c r="E32" i="9" s="1"/>
  <c r="D9" i="9" s="1"/>
  <c r="F9" i="9" s="1"/>
  <c r="G9" i="9" s="1"/>
  <c r="E40" i="9"/>
  <c r="E50" i="9"/>
  <c r="D52" i="9"/>
  <c r="E52" i="9" s="1"/>
  <c r="D11" i="9" s="1"/>
  <c r="F11" i="9" s="1"/>
  <c r="G11" i="9" s="1"/>
  <c r="I16" i="12"/>
  <c r="D24" i="12"/>
  <c r="I15" i="12"/>
  <c r="I24" i="12" s="1"/>
  <c r="F29" i="8"/>
  <c r="F22" i="8"/>
  <c r="F23" i="8" s="1"/>
  <c r="D22" i="3"/>
  <c r="D23" i="3" s="1"/>
  <c r="C13" i="11"/>
  <c r="E13" i="11" s="1"/>
  <c r="F13" i="11" s="1"/>
  <c r="D30" i="3"/>
  <c r="E20" i="9"/>
  <c r="D22" i="9"/>
  <c r="E22" i="7"/>
  <c r="E23" i="7" s="1"/>
  <c r="E30" i="7"/>
  <c r="I19" i="8"/>
  <c r="D29" i="8"/>
  <c r="D22" i="8"/>
  <c r="D23" i="8" s="1"/>
  <c r="F27" i="8"/>
  <c r="I17" i="8"/>
  <c r="I27" i="8" s="1"/>
  <c r="E28" i="7"/>
  <c r="I19" i="12"/>
  <c r="I20" i="12" s="1"/>
  <c r="I21" i="12" s="1"/>
  <c r="D20" i="12"/>
  <c r="D21" i="12" s="1"/>
  <c r="D22" i="7"/>
  <c r="D23" i="7" s="1"/>
  <c r="D30" i="7"/>
  <c r="C12" i="11"/>
  <c r="E12" i="11" s="1"/>
  <c r="F12" i="11" s="1"/>
  <c r="I22" i="8" l="1"/>
  <c r="I23" i="8" s="1"/>
  <c r="I29" i="8"/>
  <c r="C11" i="11"/>
  <c r="E11" i="11" s="1"/>
  <c r="F11" i="11" s="1"/>
  <c r="E22" i="9"/>
  <c r="D8" i="9" s="1"/>
  <c r="D12" i="9" l="1"/>
  <c r="F8" i="9"/>
  <c r="G8" i="9" s="1"/>
  <c r="C10" i="11" l="1"/>
  <c r="F12" i="9"/>
  <c r="G12" i="9" s="1"/>
  <c r="E10" i="11" l="1"/>
  <c r="F10" i="11" s="1"/>
  <c r="C14" i="11"/>
  <c r="E14" i="11" s="1"/>
  <c r="F1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Software Manager</author>
  </authors>
  <commentList>
    <comment ref="C7" authorId="0" shapeId="0" xr:uid="{00000000-0006-0000-0300-000001000000}">
      <text>
        <r>
          <rPr>
            <sz val="10"/>
            <color indexed="81"/>
            <rFont val="Tahoma"/>
            <family val="2"/>
          </rPr>
          <t>Enter the projected increase in the various categories due to Branding efforts.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 shapeId="0" xr:uid="{00000000-0006-0000-0300-000002000000}">
      <text>
        <r>
          <rPr>
            <sz val="10"/>
            <color indexed="81"/>
            <rFont val="Tahoma"/>
            <family val="2"/>
          </rPr>
          <t>Increased Awareness = New Opportunities = Increased Sales</t>
        </r>
      </text>
    </comment>
    <comment ref="B18" authorId="0" shapeId="0" xr:uid="{00000000-0006-0000-0300-000003000000}">
      <text>
        <r>
          <rPr>
            <sz val="10"/>
            <color indexed="81"/>
            <rFont val="Tahoma"/>
            <family val="2"/>
          </rPr>
          <t>% of entire market size you are competing on via active engagements or adverting reach.</t>
        </r>
      </text>
    </comment>
    <comment ref="B25" authorId="0" shapeId="0" xr:uid="{00000000-0006-0000-0300-000004000000}">
      <text>
        <r>
          <rPr>
            <sz val="10"/>
            <color indexed="81"/>
            <rFont val="Tahoma"/>
            <family val="2"/>
          </rPr>
          <t xml:space="preserve">Cost of branding related to this category only.  If you have a single branding cost covering more than one of the categories, divide the cost proportionately amongst the categories.  Or enter the entire cost into a single category and leave the remaining categories blank.
</t>
        </r>
      </text>
    </comment>
    <comment ref="B29" authorId="0" shapeId="0" xr:uid="{00000000-0006-0000-0300-000005000000}">
      <text>
        <r>
          <rPr>
            <sz val="10"/>
            <color indexed="81"/>
            <rFont val="Tahoma"/>
            <family val="2"/>
          </rPr>
          <t>Percent of revenue you are competing on which turns into annual sales.</t>
        </r>
      </text>
    </comment>
    <comment ref="B35" authorId="0" shapeId="0" xr:uid="{00000000-0006-0000-0300-000006000000}">
      <text>
        <r>
          <rPr>
            <sz val="10"/>
            <color indexed="81"/>
            <rFont val="Tahoma"/>
            <family val="2"/>
          </rPr>
          <t xml:space="preserve">Cost of branding related to this category only.  If you have a single branding cost covering more than one of the categories, divide the cost proportionately amongst the categories.  Or enter the entire cost into a single category and leave the remaining categories blank.
</t>
        </r>
      </text>
    </comment>
    <comment ref="B37" authorId="0" shapeId="0" xr:uid="{00000000-0006-0000-0300-000007000000}">
      <text>
        <r>
          <rPr>
            <sz val="10"/>
            <color indexed="81"/>
            <rFont val="Tahoma"/>
            <family val="2"/>
          </rPr>
          <t>Increased Trust = Increased Renewals of Existing Opportunities</t>
        </r>
      </text>
    </comment>
    <comment ref="B45" authorId="0" shapeId="0" xr:uid="{00000000-0006-0000-0300-000008000000}">
      <text>
        <r>
          <rPr>
            <sz val="10"/>
            <color indexed="81"/>
            <rFont val="Tahoma"/>
            <family val="2"/>
          </rPr>
          <t xml:space="preserve">Cost of branding related to this category only.  If you have a single branding cost covering more than one of the categories, divide the cost proportionately amongst the categories.  Or enter the entire cost into a single category and leave the remaining categories blank.
</t>
        </r>
      </text>
    </comment>
    <comment ref="B47" authorId="0" shapeId="0" xr:uid="{00000000-0006-0000-0300-000009000000}">
      <text>
        <r>
          <rPr>
            <sz val="10"/>
            <color indexed="81"/>
            <rFont val="Tahoma"/>
            <family val="2"/>
          </rPr>
          <t>Increased Trust = Increased Revenue per Transaction</t>
        </r>
      </text>
    </comment>
    <comment ref="B55" authorId="0" shapeId="0" xr:uid="{00000000-0006-0000-0300-00000A000000}">
      <text>
        <r>
          <rPr>
            <sz val="10"/>
            <color indexed="81"/>
            <rFont val="Tahoma"/>
            <family val="2"/>
          </rPr>
          <t xml:space="preserve">Cost of branding related to this category only.  If you have a single branding cost covering more than one of the categories, divide the cost proportionately amongst the categories.  Or enter the entire cost into a single category and leave the remaining categories blank.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Software Manager</author>
  </authors>
  <commentList>
    <comment ref="B13" authorId="0" shapeId="0" xr:uid="{00000000-0006-0000-0400-000001000000}">
      <text>
        <r>
          <rPr>
            <sz val="10"/>
            <color indexed="81"/>
            <rFont val="Tahoma"/>
            <family val="2"/>
          </rPr>
          <t>Should use Profits from a sale, not revenue.  Can use revenue if you have a very high incremental margin product (ie software).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Software Manager</author>
  </authors>
  <commentList>
    <comment ref="B13" authorId="0" shapeId="0" xr:uid="{00000000-0006-0000-0500-000001000000}">
      <text>
        <r>
          <rPr>
            <sz val="10"/>
            <color indexed="81"/>
            <rFont val="Tahoma"/>
            <family val="2"/>
          </rPr>
          <t>Should use Profits from a sale, not revenue.  Can use revenue if you have a very high incremental margin product (ie software).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Software Manager</author>
  </authors>
  <commentList>
    <comment ref="B13" authorId="0" shapeId="0" xr:uid="{00000000-0006-0000-0600-000001000000}">
      <text>
        <r>
          <rPr>
            <sz val="10"/>
            <color indexed="81"/>
            <rFont val="Tahoma"/>
            <family val="2"/>
          </rPr>
          <t>Should use Profits from a sale, not revenue.  Can use revenue if you have a very high incremental margin product (ie software).</t>
        </r>
      </text>
    </comment>
  </commentList>
</comments>
</file>

<file path=xl/sharedStrings.xml><?xml version="1.0" encoding="utf-8"?>
<sst xmlns="http://schemas.openxmlformats.org/spreadsheetml/2006/main" count="252" uniqueCount="130">
  <si>
    <t>ROI</t>
  </si>
  <si>
    <t>Inputs</t>
  </si>
  <si>
    <t>Outputs</t>
  </si>
  <si>
    <t>Inputs in Blue</t>
  </si>
  <si>
    <t>Campaign 1</t>
  </si>
  <si>
    <t>Total number of impressions</t>
  </si>
  <si>
    <t>Pay Per Click</t>
  </si>
  <si>
    <t>Banner</t>
  </si>
  <si>
    <t>Cost per 1k impressions (CPM)</t>
  </si>
  <si>
    <t>n/a</t>
  </si>
  <si>
    <t>Conversion Rate: % of leads will purchase</t>
  </si>
  <si>
    <t>Number of Leads</t>
  </si>
  <si>
    <t>Cost per Lead</t>
  </si>
  <si>
    <t>Cost per Purchase</t>
  </si>
  <si>
    <t>Pay Per Click and Banner Marketing ROI Calculator</t>
  </si>
  <si>
    <t>Number of Click throughs</t>
  </si>
  <si>
    <t>Click through Rate (CTR)</t>
  </si>
  <si>
    <t>Break Even Click Thru Rate</t>
  </si>
  <si>
    <t>Branding</t>
  </si>
  <si>
    <t>Cost per Click (CPC)</t>
  </si>
  <si>
    <t>Break Even Cost Per Click (CPC)</t>
  </si>
  <si>
    <t>Average profit per sale</t>
  </si>
  <si>
    <t>Total Profits from Sales</t>
  </si>
  <si>
    <t>Total Cost of Campaign</t>
  </si>
  <si>
    <t>Number of Sales</t>
  </si>
  <si>
    <t>Net Campaign Impact</t>
  </si>
  <si>
    <t>Total number of pieces sent</t>
  </si>
  <si>
    <t>Cost per piece</t>
  </si>
  <si>
    <t>Mail</t>
  </si>
  <si>
    <t>eMail</t>
  </si>
  <si>
    <t>Open Rate</t>
  </si>
  <si>
    <t>Response Rate: % of clickthroughs generate leads</t>
  </si>
  <si>
    <t>Click through Rate (CTR) to landing page (impressions)</t>
  </si>
  <si>
    <t>Conversion Rate: % of leads which will purchase</t>
  </si>
  <si>
    <t>Break Even Response Rate</t>
  </si>
  <si>
    <t>Break Even Cost Per Piece</t>
  </si>
  <si>
    <t>Break Even Open Rate</t>
  </si>
  <si>
    <t>Break Even Click Through Rate</t>
  </si>
  <si>
    <t>Break Even Conversion Rate</t>
  </si>
  <si>
    <t>Break Even Profit per Sale</t>
  </si>
  <si>
    <t>Mail and eMail Marketing ROI Calculator</t>
  </si>
  <si>
    <t>Total Circulation / Audience</t>
  </si>
  <si>
    <t>Number of ads run</t>
  </si>
  <si>
    <t>Cost per advertisement placement</t>
  </si>
  <si>
    <t>Response Rate: % of generate leads by audience</t>
  </si>
  <si>
    <t>Production Cost for ads</t>
  </si>
  <si>
    <t>Total Production Costs for ads</t>
  </si>
  <si>
    <t>Total Placement Costs for ads</t>
  </si>
  <si>
    <t>Cost per 1k audience member</t>
  </si>
  <si>
    <t>Print, Radio, and TV Marketing ROI Calculator</t>
  </si>
  <si>
    <t>Break Even Cost Per Ad Placement</t>
  </si>
  <si>
    <t>Cost of Branding Effort</t>
  </si>
  <si>
    <t>Total Revenue Competing Annually</t>
  </si>
  <si>
    <t>Market Size Annual Revenue</t>
  </si>
  <si>
    <t>Profit</t>
  </si>
  <si>
    <t>Cost</t>
  </si>
  <si>
    <t>Total</t>
  </si>
  <si>
    <t>Campaign 2</t>
  </si>
  <si>
    <t>Campaign 3</t>
  </si>
  <si>
    <t>Campaign 4</t>
  </si>
  <si>
    <t>Campaign 5</t>
  </si>
  <si>
    <t>Increased Awareness</t>
  </si>
  <si>
    <t>Increased Conversions</t>
  </si>
  <si>
    <t>Increased Renewals</t>
  </si>
  <si>
    <t>Increased Revenue per Sale</t>
  </si>
  <si>
    <t>Current</t>
  </si>
  <si>
    <t>New</t>
  </si>
  <si>
    <t>Increase</t>
  </si>
  <si>
    <t>ROI %</t>
  </si>
  <si>
    <t>ROI $</t>
  </si>
  <si>
    <t>Conversion %</t>
  </si>
  <si>
    <t>Branding Initiatives ROI Calculator</t>
  </si>
  <si>
    <t>Branding Initiatives ROI -  Summary Table</t>
  </si>
  <si>
    <t>Increase in Awareness From Branding</t>
  </si>
  <si>
    <t>Increase in Conversions From Branding</t>
  </si>
  <si>
    <t xml:space="preserve">% Market Share Awareness </t>
  </si>
  <si>
    <t>Profit % on New Revenue</t>
  </si>
  <si>
    <t>Total Renewal Revenue Annually</t>
  </si>
  <si>
    <t>Renewal %</t>
  </si>
  <si>
    <t>Actual Annual New Revenue</t>
  </si>
  <si>
    <t>Renewal Annual Revenue</t>
  </si>
  <si>
    <t>Profit % on Renewing Revenue</t>
  </si>
  <si>
    <t>Increased Revenue Per Sale</t>
  </si>
  <si>
    <t>Total Revenue Annually</t>
  </si>
  <si>
    <t>Number of Customers/Transactions</t>
  </si>
  <si>
    <t>Avg Revenue per Customer/Transaction</t>
  </si>
  <si>
    <t>Profit % on Revenue</t>
  </si>
  <si>
    <t>% Increase</t>
  </si>
  <si>
    <t>Print, Radio, TV</t>
  </si>
  <si>
    <t>Mail, eMail</t>
  </si>
  <si>
    <t>PayPerClick, Banner</t>
  </si>
  <si>
    <t>Generic Marketing Plan Calculator</t>
  </si>
  <si>
    <t>Initiative 1</t>
  </si>
  <si>
    <t>Initiative 2</t>
  </si>
  <si>
    <t>Initiative 3</t>
  </si>
  <si>
    <t>Initiative 4</t>
  </si>
  <si>
    <t>Initiative 5</t>
  </si>
  <si>
    <t>Total Cost</t>
  </si>
  <si>
    <t>Total Revenue Uplift</t>
  </si>
  <si>
    <t>Total Profit Uplift</t>
  </si>
  <si>
    <t>ROI%</t>
  </si>
  <si>
    <t>Number of Leads Generated</t>
  </si>
  <si>
    <t>Average Revenue per Sale</t>
  </si>
  <si>
    <t>Average Profit per sale</t>
  </si>
  <si>
    <t>Cost per Sale</t>
  </si>
  <si>
    <t>Total Cost of Initiative</t>
  </si>
  <si>
    <t>copyright Businesscase.com, single license</t>
  </si>
  <si>
    <t>This is a single license of Pro-Forma Worksheet, to be used only by purchaser.</t>
  </si>
  <si>
    <t>Contact:</t>
  </si>
  <si>
    <t>For Questions or to obtain multiple user licenses email:  info@BusinessCase.com</t>
  </si>
  <si>
    <t>Version:</t>
  </si>
  <si>
    <t>Instructions</t>
  </si>
  <si>
    <t>Overview:</t>
  </si>
  <si>
    <t>1. This spreadsheet is built to be simple and flexible</t>
  </si>
  <si>
    <t>2. Since every Business Case is unique, it is meant to be a solid basis for any analysis, not a complete solution for every possible scenario</t>
  </si>
  <si>
    <t>3. Save a master copy so you always have one, make any changes you see fit for each analysis.</t>
  </si>
  <si>
    <t>For additional Business Case Instructions and tips, see our other downloads at www.businesscase.com</t>
  </si>
  <si>
    <t>Marketing ROI</t>
  </si>
  <si>
    <t>4. Input information in the blue areas</t>
  </si>
  <si>
    <t>Generic Plan</t>
  </si>
  <si>
    <t>Summary of Tabs</t>
  </si>
  <si>
    <t>Mail &amp; eMail</t>
  </si>
  <si>
    <t>Pay per Click &amp; Banner</t>
  </si>
  <si>
    <t>5. The spreadsheet is pre-populated with an example, be sure to zero out the example before starting.</t>
  </si>
  <si>
    <t xml:space="preserve">6. If you want to see gridlines and cell information, click on 'Tools', 'Options', 'View', and check 'Gridlines' and 'Row/Column Header'  </t>
  </si>
  <si>
    <t>Summarizes all the tabs in the workbook (except Generic Plan as noted above)</t>
  </si>
  <si>
    <t>This is a standalone tab not linked to any other tabs in the workbook.  Is a less detailed outline than the other tabs.</t>
  </si>
  <si>
    <t>ROI analysis for specific initiatives in this area.</t>
  </si>
  <si>
    <t>Summary of Tabs Branding, Print/TV/Radio, Mail/eMail, and PayPerClick</t>
  </si>
  <si>
    <t>Response Rate: % of openings/click throughs which generate leads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</si>
</sst>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81"/>
      <name val="Tahoma"/>
      <family val="2"/>
    </font>
    <font>
      <b/>
      <sz val="9"/>
      <color indexed="63"/>
      <name val="Arial"/>
      <family val="2"/>
    </font>
    <font>
      <sz val="8"/>
      <color indexed="81"/>
      <name val="Tahoma"/>
      <family val="2"/>
    </font>
    <font>
      <i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7395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7" fontId="5" fillId="0" borderId="0" xfId="2" applyNumberFormat="1" applyFont="1" applyBorder="1"/>
    <xf numFmtId="7" fontId="0" fillId="0" borderId="0" xfId="2" applyNumberFormat="1" applyFont="1" applyBorder="1"/>
    <xf numFmtId="0" fontId="6" fillId="0" borderId="0" xfId="0" applyFont="1"/>
    <xf numFmtId="7" fontId="1" fillId="0" borderId="0" xfId="2" applyNumberFormat="1" applyBorder="1"/>
    <xf numFmtId="164" fontId="5" fillId="0" borderId="0" xfId="3" applyNumberFormat="1" applyFont="1" applyBorder="1"/>
    <xf numFmtId="165" fontId="5" fillId="0" borderId="0" xfId="1" applyNumberFormat="1" applyFont="1" applyBorder="1"/>
    <xf numFmtId="7" fontId="0" fillId="0" borderId="0" xfId="2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5" fontId="5" fillId="0" borderId="3" xfId="2" applyNumberFormat="1" applyFont="1" applyBorder="1"/>
    <xf numFmtId="0" fontId="7" fillId="0" borderId="0" xfId="0" applyFont="1"/>
    <xf numFmtId="0" fontId="2" fillId="0" borderId="0" xfId="0" applyFont="1"/>
    <xf numFmtId="165" fontId="0" fillId="0" borderId="0" xfId="1" applyNumberFormat="1" applyFont="1" applyBorder="1"/>
    <xf numFmtId="165" fontId="5" fillId="0" borderId="2" xfId="1" applyNumberFormat="1" applyFont="1" applyBorder="1"/>
    <xf numFmtId="164" fontId="5" fillId="0" borderId="2" xfId="3" applyNumberFormat="1" applyFont="1" applyBorder="1"/>
    <xf numFmtId="7" fontId="0" fillId="0" borderId="2" xfId="2" applyNumberFormat="1" applyFont="1" applyBorder="1" applyAlignment="1">
      <alignment horizontal="right"/>
    </xf>
    <xf numFmtId="5" fontId="5" fillId="0" borderId="2" xfId="2" applyNumberFormat="1" applyFont="1" applyBorder="1"/>
    <xf numFmtId="5" fontId="5" fillId="0" borderId="7" xfId="2" applyNumberFormat="1" applyFont="1" applyBorder="1"/>
    <xf numFmtId="165" fontId="0" fillId="0" borderId="2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7" fontId="0" fillId="0" borderId="2" xfId="2" applyNumberFormat="1" applyFont="1" applyBorder="1"/>
    <xf numFmtId="0" fontId="0" fillId="0" borderId="8" xfId="0" applyBorder="1"/>
    <xf numFmtId="5" fontId="8" fillId="0" borderId="0" xfId="2" applyNumberFormat="1" applyFont="1" applyBorder="1"/>
    <xf numFmtId="5" fontId="8" fillId="0" borderId="2" xfId="2" applyNumberFormat="1" applyFont="1" applyBorder="1"/>
    <xf numFmtId="5" fontId="7" fillId="0" borderId="0" xfId="0" applyNumberFormat="1" applyFont="1"/>
    <xf numFmtId="5" fontId="7" fillId="0" borderId="2" xfId="0" applyNumberFormat="1" applyFont="1" applyBorder="1"/>
    <xf numFmtId="0" fontId="7" fillId="0" borderId="1" xfId="0" applyFont="1" applyBorder="1" applyAlignment="1">
      <alignment horizontal="left"/>
    </xf>
    <xf numFmtId="9" fontId="7" fillId="0" borderId="0" xfId="3" applyFont="1" applyBorder="1"/>
    <xf numFmtId="9" fontId="7" fillId="0" borderId="2" xfId="3" applyFont="1" applyBorder="1"/>
    <xf numFmtId="5" fontId="2" fillId="0" borderId="0" xfId="0" applyNumberFormat="1" applyFont="1"/>
    <xf numFmtId="5" fontId="2" fillId="0" borderId="2" xfId="0" applyNumberFormat="1" applyFont="1" applyBorder="1"/>
    <xf numFmtId="9" fontId="0" fillId="0" borderId="0" xfId="3" applyFont="1"/>
    <xf numFmtId="7" fontId="1" fillId="0" borderId="0" xfId="2" applyNumberFormat="1" applyFont="1" applyBorder="1" applyAlignment="1">
      <alignment horizontal="right"/>
    </xf>
    <xf numFmtId="165" fontId="1" fillId="0" borderId="0" xfId="1" applyNumberFormat="1" applyBorder="1"/>
    <xf numFmtId="9" fontId="1" fillId="0" borderId="0" xfId="3"/>
    <xf numFmtId="7" fontId="1" fillId="0" borderId="2" xfId="2" applyNumberFormat="1" applyBorder="1"/>
    <xf numFmtId="0" fontId="2" fillId="0" borderId="1" xfId="0" applyFont="1" applyBorder="1"/>
    <xf numFmtId="0" fontId="8" fillId="0" borderId="1" xfId="0" applyFont="1" applyBorder="1"/>
    <xf numFmtId="164" fontId="2" fillId="0" borderId="0" xfId="3" applyNumberFormat="1" applyFont="1" applyBorder="1" applyAlignment="1">
      <alignment horizontal="right"/>
    </xf>
    <xf numFmtId="7" fontId="5" fillId="0" borderId="2" xfId="2" applyNumberFormat="1" applyFont="1" applyBorder="1"/>
    <xf numFmtId="0" fontId="0" fillId="0" borderId="0" xfId="0" applyAlignment="1">
      <alignment horizontal="right"/>
    </xf>
    <xf numFmtId="7" fontId="0" fillId="0" borderId="0" xfId="0" applyNumberFormat="1"/>
    <xf numFmtId="164" fontId="0" fillId="0" borderId="0" xfId="3" applyNumberFormat="1" applyFont="1" applyBorder="1"/>
    <xf numFmtId="10" fontId="0" fillId="0" borderId="0" xfId="3" applyNumberFormat="1" applyFont="1" applyBorder="1"/>
    <xf numFmtId="10" fontId="1" fillId="0" borderId="0" xfId="3" applyNumberFormat="1" applyBorder="1" applyAlignment="1">
      <alignment horizontal="right"/>
    </xf>
    <xf numFmtId="10" fontId="0" fillId="0" borderId="2" xfId="3" applyNumberFormat="1" applyFont="1" applyBorder="1" applyAlignment="1">
      <alignment horizontal="right"/>
    </xf>
    <xf numFmtId="10" fontId="1" fillId="0" borderId="2" xfId="3" applyNumberFormat="1" applyBorder="1" applyAlignment="1">
      <alignment horizontal="right"/>
    </xf>
    <xf numFmtId="10" fontId="0" fillId="0" borderId="2" xfId="3" applyNumberFormat="1" applyFont="1" applyBorder="1"/>
    <xf numFmtId="7" fontId="1" fillId="0" borderId="3" xfId="2" applyNumberFormat="1" applyBorder="1"/>
    <xf numFmtId="7" fontId="1" fillId="0" borderId="7" xfId="2" applyNumberFormat="1" applyBorder="1"/>
    <xf numFmtId="7" fontId="0" fillId="0" borderId="2" xfId="0" applyNumberFormat="1" applyBorder="1"/>
    <xf numFmtId="10" fontId="1" fillId="0" borderId="0" xfId="3" applyNumberFormat="1" applyBorder="1"/>
    <xf numFmtId="5" fontId="5" fillId="0" borderId="0" xfId="2" applyNumberFormat="1" applyFont="1" applyBorder="1"/>
    <xf numFmtId="165" fontId="0" fillId="0" borderId="0" xfId="1" applyNumberFormat="1" applyFont="1" applyBorder="1" applyAlignment="1">
      <alignment horizontal="right"/>
    </xf>
    <xf numFmtId="5" fontId="0" fillId="0" borderId="0" xfId="0" applyNumberFormat="1"/>
    <xf numFmtId="166" fontId="5" fillId="0" borderId="0" xfId="1" applyNumberFormat="1" applyFont="1" applyBorder="1"/>
    <xf numFmtId="9" fontId="5" fillId="0" borderId="3" xfId="3" applyFont="1" applyBorder="1"/>
    <xf numFmtId="166" fontId="2" fillId="0" borderId="0" xfId="1" applyNumberFormat="1" applyFont="1" applyBorder="1"/>
    <xf numFmtId="9" fontId="2" fillId="0" borderId="3" xfId="3" applyFont="1" applyBorder="1"/>
    <xf numFmtId="9" fontId="2" fillId="0" borderId="0" xfId="3" applyFont="1" applyBorder="1"/>
    <xf numFmtId="166" fontId="0" fillId="0" borderId="0" xfId="0" applyNumberFormat="1"/>
    <xf numFmtId="165" fontId="2" fillId="0" borderId="2" xfId="1" applyNumberFormat="1" applyFont="1" applyBorder="1"/>
    <xf numFmtId="5" fontId="2" fillId="0" borderId="2" xfId="2" applyNumberFormat="1" applyFont="1" applyBorder="1" applyAlignment="1">
      <alignment horizontal="right"/>
    </xf>
    <xf numFmtId="165" fontId="0" fillId="0" borderId="2" xfId="1" applyNumberFormat="1" applyFont="1" applyBorder="1"/>
    <xf numFmtId="5" fontId="0" fillId="0" borderId="2" xfId="0" applyNumberFormat="1" applyBorder="1"/>
    <xf numFmtId="5" fontId="2" fillId="0" borderId="7" xfId="2" applyNumberFormat="1" applyFont="1" applyBorder="1" applyAlignment="1">
      <alignment horizontal="right"/>
    </xf>
    <xf numFmtId="7" fontId="1" fillId="0" borderId="0" xfId="2" applyNumberFormat="1" applyBorder="1" applyAlignment="1">
      <alignment horizontal="right"/>
    </xf>
    <xf numFmtId="0" fontId="10" fillId="0" borderId="0" xfId="0" applyFont="1" applyAlignment="1">
      <alignment horizontal="left" vertical="top" wrapText="1" indent="2"/>
    </xf>
    <xf numFmtId="164" fontId="2" fillId="0" borderId="3" xfId="3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166" fontId="0" fillId="0" borderId="3" xfId="0" applyNumberFormat="1" applyBorder="1"/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166" fontId="0" fillId="0" borderId="2" xfId="0" applyNumberFormat="1" applyBorder="1"/>
    <xf numFmtId="9" fontId="0" fillId="0" borderId="7" xfId="0" applyNumberFormat="1" applyBorder="1"/>
    <xf numFmtId="0" fontId="0" fillId="0" borderId="7" xfId="0" applyBorder="1"/>
    <xf numFmtId="9" fontId="2" fillId="0" borderId="2" xfId="3" applyFont="1" applyBorder="1"/>
    <xf numFmtId="166" fontId="5" fillId="0" borderId="3" xfId="1" applyNumberFormat="1" applyFont="1" applyBorder="1"/>
    <xf numFmtId="9" fontId="2" fillId="0" borderId="7" xfId="3" applyFont="1" applyBorder="1"/>
    <xf numFmtId="164" fontId="2" fillId="0" borderId="7" xfId="3" applyNumberFormat="1" applyFont="1" applyBorder="1" applyAlignment="1">
      <alignment horizontal="right"/>
    </xf>
    <xf numFmtId="9" fontId="0" fillId="0" borderId="2" xfId="3" applyFont="1" applyBorder="1" applyAlignment="1">
      <alignment horizontal="right"/>
    </xf>
    <xf numFmtId="9" fontId="0" fillId="0" borderId="7" xfId="3" applyFont="1" applyBorder="1" applyAlignment="1">
      <alignment horizontal="right"/>
    </xf>
    <xf numFmtId="165" fontId="5" fillId="0" borderId="3" xfId="1" applyNumberFormat="1" applyFont="1" applyBorder="1"/>
    <xf numFmtId="165" fontId="2" fillId="0" borderId="3" xfId="3" applyNumberFormat="1" applyFont="1" applyBorder="1"/>
    <xf numFmtId="164" fontId="0" fillId="0" borderId="0" xfId="0" applyNumberFormat="1"/>
    <xf numFmtId="164" fontId="5" fillId="0" borderId="0" xfId="3" applyNumberFormat="1" applyFont="1" applyBorder="1" applyAlignment="1">
      <alignment horizontal="right"/>
    </xf>
    <xf numFmtId="9" fontId="0" fillId="0" borderId="9" xfId="3" applyFont="1" applyBorder="1" applyAlignment="1">
      <alignment horizontal="right"/>
    </xf>
    <xf numFmtId="165" fontId="1" fillId="0" borderId="2" xfId="1" applyNumberFormat="1" applyBorder="1"/>
    <xf numFmtId="0" fontId="12" fillId="0" borderId="1" xfId="0" applyFont="1" applyBorder="1"/>
    <xf numFmtId="0" fontId="12" fillId="0" borderId="0" xfId="0" applyFont="1"/>
    <xf numFmtId="0" fontId="12" fillId="0" borderId="1" xfId="0" applyFont="1" applyBorder="1" applyAlignment="1">
      <alignment horizontal="left"/>
    </xf>
    <xf numFmtId="0" fontId="2" fillId="0" borderId="8" xfId="0" applyFont="1" applyBorder="1"/>
    <xf numFmtId="37" fontId="5" fillId="0" borderId="0" xfId="2" applyNumberFormat="1" applyFont="1" applyBorder="1"/>
    <xf numFmtId="37" fontId="2" fillId="0" borderId="2" xfId="0" applyNumberFormat="1" applyFont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Protection="1">
      <protection locked="0"/>
    </xf>
    <xf numFmtId="0" fontId="14" fillId="0" borderId="0" xfId="0" applyFont="1"/>
    <xf numFmtId="0" fontId="4" fillId="0" borderId="0" xfId="0" applyFont="1"/>
    <xf numFmtId="0" fontId="0" fillId="0" borderId="0" xfId="0" quotePrefix="1"/>
    <xf numFmtId="0" fontId="16" fillId="2" borderId="5" xfId="0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0" fontId="16" fillId="2" borderId="4" xfId="0" applyFont="1" applyFill="1" applyBorder="1" applyAlignment="1" applyProtection="1">
      <alignment horizontal="center"/>
      <protection locked="0"/>
    </xf>
    <xf numFmtId="0" fontId="19" fillId="2" borderId="4" xfId="0" applyFont="1" applyFill="1" applyBorder="1"/>
    <xf numFmtId="0" fontId="17" fillId="2" borderId="5" xfId="0" applyFon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 indent="2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7" fillId="3" borderId="1" xfId="0" applyFont="1" applyFill="1" applyBorder="1"/>
    <xf numFmtId="0" fontId="0" fillId="3" borderId="0" xfId="0" applyFill="1"/>
    <xf numFmtId="0" fontId="0" fillId="3" borderId="2" xfId="0" applyFill="1" applyBorder="1"/>
    <xf numFmtId="0" fontId="0" fillId="3" borderId="1" xfId="0" applyFill="1" applyBorder="1"/>
    <xf numFmtId="0" fontId="1" fillId="3" borderId="0" xfId="0" applyFont="1" applyFill="1"/>
    <xf numFmtId="0" fontId="0" fillId="3" borderId="8" xfId="0" applyFill="1" applyBorder="1"/>
    <xf numFmtId="0" fontId="0" fillId="3" borderId="3" xfId="0" applyFill="1" applyBorder="1"/>
    <xf numFmtId="0" fontId="0" fillId="3" borderId="7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73959"/>
      <color rgb="FFD3E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368300</xdr:colOff>
      <xdr:row>2</xdr:row>
      <xdr:rowOff>6350</xdr:rowOff>
    </xdr:from>
    <xdr:to>
      <xdr:col>15</xdr:col>
      <xdr:colOff>349248</xdr:colOff>
      <xdr:row>5</xdr:row>
      <xdr:rowOff>50334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217BB0-FECD-4803-A848-E7727AE3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750" y="323850"/>
          <a:ext cx="590548" cy="52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298450</xdr:colOff>
      <xdr:row>0</xdr:row>
      <xdr:rowOff>100784</xdr:rowOff>
    </xdr:from>
    <xdr:to>
      <xdr:col>8</xdr:col>
      <xdr:colOff>888998</xdr:colOff>
      <xdr:row>3</xdr:row>
      <xdr:rowOff>81268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BEB382-3152-A991-0190-BD030BD0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700" y="100784"/>
          <a:ext cx="590548" cy="52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82550</xdr:rowOff>
    </xdr:from>
    <xdr:to>
      <xdr:col>6</xdr:col>
      <xdr:colOff>50798</xdr:colOff>
      <xdr:row>3</xdr:row>
      <xdr:rowOff>132884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A03407-474A-45A7-A11F-6DC750BF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82550"/>
          <a:ext cx="590548" cy="52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374650</xdr:colOff>
      <xdr:row>0</xdr:row>
      <xdr:rowOff>133350</xdr:rowOff>
    </xdr:from>
    <xdr:to>
      <xdr:col>6</xdr:col>
      <xdr:colOff>965198</xdr:colOff>
      <xdr:row>3</xdr:row>
      <xdr:rowOff>120184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2F4778-E9ED-460E-9057-C2FBB2C4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3350"/>
          <a:ext cx="590548" cy="52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101600</xdr:rowOff>
    </xdr:from>
    <xdr:to>
      <xdr:col>8</xdr:col>
      <xdr:colOff>952498</xdr:colOff>
      <xdr:row>3</xdr:row>
      <xdr:rowOff>151934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99CD27-520C-476A-8551-E1A9BB33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5200" y="101600"/>
          <a:ext cx="590548" cy="52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608263</xdr:colOff>
      <xdr:row>0</xdr:row>
      <xdr:rowOff>73526</xdr:rowOff>
    </xdr:from>
    <xdr:to>
      <xdr:col>5</xdr:col>
      <xdr:colOff>22390</xdr:colOff>
      <xdr:row>3</xdr:row>
      <xdr:rowOff>118847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C7B167-C5F5-4618-8471-94070BB4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73526"/>
          <a:ext cx="590548" cy="52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568158</xdr:colOff>
      <xdr:row>0</xdr:row>
      <xdr:rowOff>86894</xdr:rowOff>
    </xdr:from>
    <xdr:to>
      <xdr:col>4</xdr:col>
      <xdr:colOff>1158706</xdr:colOff>
      <xdr:row>3</xdr:row>
      <xdr:rowOff>132215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C1CB22-DE2E-43DF-B74D-7D73AAE9A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9895" y="86894"/>
          <a:ext cx="590548" cy="526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36"/>
  <sheetViews>
    <sheetView showGridLines="0" tabSelected="1" workbookViewId="0"/>
  </sheetViews>
  <sheetFormatPr defaultRowHeight="12.5" x14ac:dyDescent="0.25"/>
  <cols>
    <col min="1" max="1" width="2.54296875" customWidth="1"/>
    <col min="3" max="3" width="18.81640625" customWidth="1"/>
    <col min="16" max="16" width="7.26953125" customWidth="1"/>
  </cols>
  <sheetData>
    <row r="1" spans="1:16" x14ac:dyDescent="0.25">
      <c r="A1" s="100" t="s">
        <v>106</v>
      </c>
    </row>
    <row r="3" spans="1:16" ht="15.5" x14ac:dyDescent="0.35">
      <c r="B3" s="101" t="s">
        <v>107</v>
      </c>
    </row>
    <row r="4" spans="1:16" ht="6.75" customHeight="1" x14ac:dyDescent="0.25"/>
    <row r="5" spans="1:16" ht="15.5" x14ac:dyDescent="0.35">
      <c r="B5" s="101" t="s">
        <v>108</v>
      </c>
      <c r="C5" s="102"/>
      <c r="D5" t="s">
        <v>109</v>
      </c>
    </row>
    <row r="6" spans="1:16" ht="9" customHeight="1" x14ac:dyDescent="0.35">
      <c r="B6" s="102"/>
      <c r="C6" s="102"/>
    </row>
    <row r="7" spans="1:16" ht="15.5" x14ac:dyDescent="0.35">
      <c r="B7" s="101" t="s">
        <v>110</v>
      </c>
      <c r="C7" s="102"/>
      <c r="D7" t="s">
        <v>117</v>
      </c>
    </row>
    <row r="8" spans="1:16" ht="15.5" x14ac:dyDescent="0.35">
      <c r="B8" s="102"/>
      <c r="C8" s="102"/>
    </row>
    <row r="9" spans="1:16" ht="20" x14ac:dyDescent="0.4">
      <c r="B9" s="111" t="s">
        <v>111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</row>
    <row r="10" spans="1:16" x14ac:dyDescent="0.25">
      <c r="B10" s="11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20"/>
    </row>
    <row r="11" spans="1:16" ht="17.25" customHeight="1" x14ac:dyDescent="0.3">
      <c r="B11" s="121" t="s">
        <v>112</v>
      </c>
      <c r="C11" s="122"/>
      <c r="D11" s="122" t="s">
        <v>113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3"/>
    </row>
    <row r="12" spans="1:16" ht="17.25" customHeight="1" x14ac:dyDescent="0.25">
      <c r="B12" s="124"/>
      <c r="C12" s="122"/>
      <c r="D12" s="122" t="s">
        <v>114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3"/>
    </row>
    <row r="13" spans="1:16" ht="17.25" customHeight="1" x14ac:dyDescent="0.25">
      <c r="B13" s="124"/>
      <c r="C13" s="122"/>
      <c r="D13" s="122" t="s">
        <v>115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3"/>
    </row>
    <row r="14" spans="1:16" ht="17.25" customHeight="1" x14ac:dyDescent="0.25">
      <c r="B14" s="124"/>
      <c r="C14" s="122"/>
      <c r="D14" s="122" t="s">
        <v>118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3"/>
    </row>
    <row r="15" spans="1:16" ht="17.25" customHeight="1" x14ac:dyDescent="0.25">
      <c r="B15" s="124"/>
      <c r="C15" s="122"/>
      <c r="D15" s="122" t="s">
        <v>123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3"/>
    </row>
    <row r="16" spans="1:16" ht="15.75" customHeight="1" x14ac:dyDescent="0.25">
      <c r="B16" s="124"/>
      <c r="C16" s="122"/>
      <c r="D16" s="122" t="s">
        <v>124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3"/>
    </row>
    <row r="17" spans="2:16" ht="15.75" customHeight="1" x14ac:dyDescent="0.25">
      <c r="B17" s="124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3"/>
    </row>
    <row r="18" spans="2:16" ht="15.75" customHeight="1" x14ac:dyDescent="0.3">
      <c r="B18" s="121" t="s">
        <v>119</v>
      </c>
      <c r="C18" s="122"/>
      <c r="D18" s="122" t="s">
        <v>126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3"/>
    </row>
    <row r="19" spans="2:16" ht="15.75" customHeight="1" x14ac:dyDescent="0.25">
      <c r="B19" s="124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3"/>
    </row>
    <row r="20" spans="2:16" ht="15.75" customHeight="1" x14ac:dyDescent="0.3">
      <c r="B20" s="121" t="s">
        <v>120</v>
      </c>
      <c r="C20" s="122"/>
      <c r="D20" s="122" t="s">
        <v>125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3"/>
    </row>
    <row r="21" spans="2:16" ht="15.75" customHeight="1" x14ac:dyDescent="0.25">
      <c r="B21" s="124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3"/>
    </row>
    <row r="22" spans="2:16" ht="15.75" customHeight="1" x14ac:dyDescent="0.3">
      <c r="B22" s="121" t="s">
        <v>18</v>
      </c>
      <c r="C22" s="122"/>
      <c r="D22" s="125" t="s">
        <v>127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3"/>
    </row>
    <row r="23" spans="2:16" ht="15.75" customHeight="1" x14ac:dyDescent="0.3">
      <c r="B23" s="121" t="s">
        <v>88</v>
      </c>
      <c r="C23" s="122"/>
      <c r="D23" s="125" t="s">
        <v>127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3"/>
    </row>
    <row r="24" spans="2:16" ht="15.75" customHeight="1" x14ac:dyDescent="0.3">
      <c r="B24" s="121" t="s">
        <v>121</v>
      </c>
      <c r="C24" s="122"/>
      <c r="D24" s="125" t="s">
        <v>127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3"/>
    </row>
    <row r="25" spans="2:16" ht="15.75" customHeight="1" x14ac:dyDescent="0.3">
      <c r="B25" s="121" t="s">
        <v>122</v>
      </c>
      <c r="C25" s="122"/>
      <c r="D25" s="125" t="s">
        <v>127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</row>
    <row r="26" spans="2:16" ht="15.75" customHeight="1" x14ac:dyDescent="0.25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</row>
    <row r="27" spans="2:16" ht="17.25" customHeight="1" x14ac:dyDescent="0.25"/>
    <row r="28" spans="2:16" ht="17.25" customHeight="1" x14ac:dyDescent="0.3">
      <c r="C28" s="93" t="s">
        <v>116</v>
      </c>
    </row>
    <row r="29" spans="2:16" ht="17.25" customHeight="1" x14ac:dyDescent="0.25"/>
    <row r="30" spans="2:16" ht="17.25" customHeight="1" x14ac:dyDescent="0.25"/>
    <row r="31" spans="2:16" ht="17.25" customHeight="1" x14ac:dyDescent="0.25"/>
    <row r="32" spans="2:16" ht="17.25" customHeight="1" x14ac:dyDescent="0.25"/>
    <row r="33" spans="4:4" ht="11.25" customHeight="1" x14ac:dyDescent="0.25"/>
    <row r="34" spans="4:4" ht="17.25" customHeight="1" x14ac:dyDescent="0.25"/>
    <row r="35" spans="4:4" x14ac:dyDescent="0.25">
      <c r="D35" s="103"/>
    </row>
    <row r="36" spans="4:4" ht="15.75" customHeight="1" x14ac:dyDescent="0.25"/>
  </sheetData>
  <mergeCells count="1">
    <mergeCell ref="B9:P9"/>
  </mergeCells>
  <phoneticPr fontId="0" type="noConversion"/>
  <pageMargins left="0.75" right="0.75" top="1" bottom="1" header="0.5" footer="0.5"/>
  <pageSetup scale="7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0"/>
  <sheetViews>
    <sheetView showGridLines="0" workbookViewId="0"/>
  </sheetViews>
  <sheetFormatPr defaultRowHeight="12.5" x14ac:dyDescent="0.25"/>
  <cols>
    <col min="1" max="1" width="4.54296875" customWidth="1"/>
    <col min="2" max="2" width="21.26953125" customWidth="1"/>
    <col min="3" max="3" width="20.7265625" customWidth="1"/>
    <col min="4" max="5" width="14.1796875" customWidth="1"/>
    <col min="6" max="8" width="14.26953125" customWidth="1"/>
    <col min="9" max="9" width="14.1796875" customWidth="1"/>
  </cols>
  <sheetData>
    <row r="1" spans="1:9" x14ac:dyDescent="0.25">
      <c r="A1" s="100" t="s">
        <v>106</v>
      </c>
    </row>
    <row r="3" spans="1:9" ht="18" customHeight="1" x14ac:dyDescent="0.35">
      <c r="B3" s="11" t="s">
        <v>91</v>
      </c>
    </row>
    <row r="4" spans="1:9" ht="14" x14ac:dyDescent="0.3">
      <c r="B4" s="6" t="s">
        <v>3</v>
      </c>
    </row>
    <row r="5" spans="1:9" ht="15.5" x14ac:dyDescent="0.35">
      <c r="B5" s="104" t="s">
        <v>1</v>
      </c>
      <c r="C5" s="104"/>
      <c r="D5" s="105" t="s">
        <v>92</v>
      </c>
      <c r="E5" s="105" t="s">
        <v>93</v>
      </c>
      <c r="F5" s="105" t="s">
        <v>94</v>
      </c>
      <c r="G5" s="105" t="s">
        <v>95</v>
      </c>
      <c r="H5" s="105" t="s">
        <v>96</v>
      </c>
      <c r="I5" s="106" t="s">
        <v>56</v>
      </c>
    </row>
    <row r="6" spans="1:9" ht="15" customHeight="1" x14ac:dyDescent="0.25">
      <c r="B6" s="39" t="s">
        <v>105</v>
      </c>
      <c r="D6" s="55">
        <v>25000</v>
      </c>
      <c r="E6" s="55">
        <v>50000</v>
      </c>
      <c r="F6" s="55">
        <v>0</v>
      </c>
      <c r="G6" s="55">
        <v>0</v>
      </c>
      <c r="H6" s="55">
        <v>0</v>
      </c>
      <c r="I6" s="33">
        <f>SUM(D6:H6)</f>
        <v>75000</v>
      </c>
    </row>
    <row r="7" spans="1:9" ht="15" customHeight="1" x14ac:dyDescent="0.25">
      <c r="B7" s="1" t="s">
        <v>41</v>
      </c>
      <c r="D7" s="96">
        <v>100000</v>
      </c>
      <c r="E7" s="96">
        <v>150000</v>
      </c>
      <c r="F7" s="96">
        <v>0</v>
      </c>
      <c r="G7" s="96">
        <v>0</v>
      </c>
      <c r="H7" s="96">
        <v>0</v>
      </c>
      <c r="I7" s="97">
        <f>SUM(D7:H7)</f>
        <v>250000</v>
      </c>
    </row>
    <row r="8" spans="1:9" ht="15" customHeight="1" x14ac:dyDescent="0.25">
      <c r="B8" s="1" t="s">
        <v>44</v>
      </c>
      <c r="D8" s="8">
        <v>2.5000000000000001E-2</v>
      </c>
      <c r="E8" s="8">
        <v>0.03</v>
      </c>
      <c r="F8" s="8">
        <v>0</v>
      </c>
      <c r="G8" s="8">
        <v>0</v>
      </c>
      <c r="H8" s="8">
        <v>0</v>
      </c>
      <c r="I8" s="65" t="s">
        <v>9</v>
      </c>
    </row>
    <row r="9" spans="1:9" ht="15" customHeight="1" x14ac:dyDescent="0.25">
      <c r="B9" s="1" t="s">
        <v>33</v>
      </c>
      <c r="D9" s="8">
        <v>0.1</v>
      </c>
      <c r="E9" s="8">
        <v>0.15</v>
      </c>
      <c r="F9" s="8">
        <v>0</v>
      </c>
      <c r="G9" s="8">
        <v>0</v>
      </c>
      <c r="H9" s="8">
        <v>0</v>
      </c>
      <c r="I9" s="65" t="s">
        <v>9</v>
      </c>
    </row>
    <row r="10" spans="1:9" ht="15" customHeight="1" x14ac:dyDescent="0.25">
      <c r="B10" s="39" t="s">
        <v>102</v>
      </c>
      <c r="D10" s="55">
        <v>1000</v>
      </c>
      <c r="E10" s="55">
        <v>500</v>
      </c>
      <c r="F10" s="55">
        <v>0</v>
      </c>
      <c r="G10" s="55">
        <v>0</v>
      </c>
      <c r="H10" s="55">
        <v>0</v>
      </c>
      <c r="I10" s="65" t="s">
        <v>9</v>
      </c>
    </row>
    <row r="11" spans="1:9" ht="15" customHeight="1" x14ac:dyDescent="0.25">
      <c r="B11" s="95" t="s">
        <v>103</v>
      </c>
      <c r="C11" s="3"/>
      <c r="D11" s="12">
        <v>250</v>
      </c>
      <c r="E11" s="12">
        <v>100</v>
      </c>
      <c r="F11" s="12">
        <v>0</v>
      </c>
      <c r="G11" s="12">
        <v>0</v>
      </c>
      <c r="H11" s="12">
        <v>0</v>
      </c>
      <c r="I11" s="68" t="s">
        <v>9</v>
      </c>
    </row>
    <row r="12" spans="1:9" ht="13" x14ac:dyDescent="0.3">
      <c r="B12" s="93"/>
    </row>
    <row r="13" spans="1:9" ht="15.5" x14ac:dyDescent="0.35">
      <c r="B13" s="104" t="s">
        <v>2</v>
      </c>
      <c r="C13" s="104"/>
      <c r="D13" s="105" t="str">
        <f>+D5</f>
        <v>Initiative 1</v>
      </c>
      <c r="E13" s="105" t="str">
        <f>+E5</f>
        <v>Initiative 2</v>
      </c>
      <c r="F13" s="105" t="str">
        <f>+F5</f>
        <v>Initiative 3</v>
      </c>
      <c r="G13" s="105" t="str">
        <f>+G5</f>
        <v>Initiative 4</v>
      </c>
      <c r="H13" s="105" t="str">
        <f>+H5</f>
        <v>Initiative 5</v>
      </c>
      <c r="I13" s="106" t="s">
        <v>56</v>
      </c>
    </row>
    <row r="14" spans="1:9" ht="15" customHeight="1" x14ac:dyDescent="0.25">
      <c r="B14" s="39" t="s">
        <v>101</v>
      </c>
      <c r="D14" s="36">
        <f>+D8*D7</f>
        <v>2500</v>
      </c>
      <c r="E14" s="36">
        <f>+E8*E7</f>
        <v>4500</v>
      </c>
      <c r="F14" s="36">
        <f>+F8*F7</f>
        <v>0</v>
      </c>
      <c r="G14" s="36">
        <f>+G8*G7</f>
        <v>0</v>
      </c>
      <c r="H14" s="36">
        <f>+H8*H7</f>
        <v>0</v>
      </c>
      <c r="I14" s="91">
        <f>SUM(D14:H14)</f>
        <v>7000</v>
      </c>
    </row>
    <row r="15" spans="1:9" ht="15" customHeight="1" x14ac:dyDescent="0.25">
      <c r="B15" s="39" t="s">
        <v>24</v>
      </c>
      <c r="D15" s="36">
        <f t="shared" ref="D15:H16" si="0">+D14*D9</f>
        <v>250</v>
      </c>
      <c r="E15" s="36">
        <f t="shared" si="0"/>
        <v>675</v>
      </c>
      <c r="F15" s="36">
        <f t="shared" si="0"/>
        <v>0</v>
      </c>
      <c r="G15" s="36">
        <f t="shared" si="0"/>
        <v>0</v>
      </c>
      <c r="H15" s="36">
        <f t="shared" si="0"/>
        <v>0</v>
      </c>
      <c r="I15" s="91">
        <f>SUM(D15:H15)</f>
        <v>925</v>
      </c>
    </row>
    <row r="16" spans="1:9" ht="15" customHeight="1" x14ac:dyDescent="0.25">
      <c r="B16" s="39" t="s">
        <v>98</v>
      </c>
      <c r="C16" s="14"/>
      <c r="D16" s="32">
        <f t="shared" si="0"/>
        <v>250000</v>
      </c>
      <c r="E16" s="32">
        <f t="shared" si="0"/>
        <v>337500</v>
      </c>
      <c r="F16" s="32">
        <f t="shared" si="0"/>
        <v>0</v>
      </c>
      <c r="G16" s="32">
        <f t="shared" si="0"/>
        <v>0</v>
      </c>
      <c r="H16" s="32">
        <f t="shared" si="0"/>
        <v>0</v>
      </c>
      <c r="I16" s="33">
        <f>SUM(D16:H16)</f>
        <v>587500</v>
      </c>
    </row>
    <row r="17" spans="2:9" x14ac:dyDescent="0.25">
      <c r="B17" s="1"/>
      <c r="I17" s="2"/>
    </row>
    <row r="18" spans="2:9" ht="15" customHeight="1" x14ac:dyDescent="0.25">
      <c r="B18" s="39" t="s">
        <v>97</v>
      </c>
      <c r="D18" s="32">
        <f>+D6</f>
        <v>25000</v>
      </c>
      <c r="E18" s="32">
        <f>+E6</f>
        <v>50000</v>
      </c>
      <c r="F18" s="32">
        <f>+F6</f>
        <v>0</v>
      </c>
      <c r="G18" s="32">
        <f>+G6</f>
        <v>0</v>
      </c>
      <c r="H18" s="32">
        <f>+H6</f>
        <v>0</v>
      </c>
      <c r="I18" s="33">
        <f>SUM(D18:H18)</f>
        <v>75000</v>
      </c>
    </row>
    <row r="19" spans="2:9" ht="15" customHeight="1" x14ac:dyDescent="0.25">
      <c r="B19" s="39" t="s">
        <v>99</v>
      </c>
      <c r="C19" s="14"/>
      <c r="D19" s="25">
        <f>+D15*D11</f>
        <v>62500</v>
      </c>
      <c r="E19" s="25">
        <f>+E15*E11</f>
        <v>67500</v>
      </c>
      <c r="F19" s="25">
        <f>+F15*F11</f>
        <v>0</v>
      </c>
      <c r="G19" s="25">
        <f>+G15*G11</f>
        <v>0</v>
      </c>
      <c r="H19" s="25">
        <f>+H15*H11</f>
        <v>0</v>
      </c>
      <c r="I19" s="26">
        <f>SUM(D19:H19)</f>
        <v>130000</v>
      </c>
    </row>
    <row r="20" spans="2:9" ht="15" customHeight="1" x14ac:dyDescent="0.3">
      <c r="B20" s="39" t="s">
        <v>0</v>
      </c>
      <c r="C20" s="13"/>
      <c r="D20" s="27">
        <f t="shared" ref="D20:I20" si="1">+D19-D18</f>
        <v>37500</v>
      </c>
      <c r="E20" s="27">
        <f t="shared" si="1"/>
        <v>17500</v>
      </c>
      <c r="F20" s="27">
        <f t="shared" si="1"/>
        <v>0</v>
      </c>
      <c r="G20" s="27">
        <f t="shared" si="1"/>
        <v>0</v>
      </c>
      <c r="H20" s="27">
        <f t="shared" si="1"/>
        <v>0</v>
      </c>
      <c r="I20" s="28">
        <f t="shared" si="1"/>
        <v>55000</v>
      </c>
    </row>
    <row r="21" spans="2:9" ht="15" customHeight="1" x14ac:dyDescent="0.3">
      <c r="B21" s="39" t="s">
        <v>100</v>
      </c>
      <c r="C21" s="13"/>
      <c r="D21" s="30">
        <f t="shared" ref="D21:I21" si="2">IF(ISERR(+D20/(D18)),0,+D20/(D18))</f>
        <v>1.5</v>
      </c>
      <c r="E21" s="30">
        <f t="shared" si="2"/>
        <v>0.35</v>
      </c>
      <c r="F21" s="30">
        <f t="shared" si="2"/>
        <v>0</v>
      </c>
      <c r="G21" s="30">
        <f t="shared" si="2"/>
        <v>0</v>
      </c>
      <c r="H21" s="30">
        <f t="shared" si="2"/>
        <v>0</v>
      </c>
      <c r="I21" s="31">
        <f t="shared" si="2"/>
        <v>0.73333333333333328</v>
      </c>
    </row>
    <row r="22" spans="2:9" ht="7.5" customHeight="1" x14ac:dyDescent="0.3">
      <c r="B22" s="94"/>
      <c r="D22" s="7"/>
      <c r="E22" s="7"/>
      <c r="F22" s="7"/>
      <c r="G22" s="7"/>
      <c r="H22" s="7"/>
      <c r="I22" s="38"/>
    </row>
    <row r="23" spans="2:9" ht="15" customHeight="1" x14ac:dyDescent="0.25">
      <c r="B23" s="39" t="s">
        <v>12</v>
      </c>
      <c r="D23" s="7">
        <f t="shared" ref="D23:I23" si="3">IF(ISERR((D6)/(D14)),0,(D6)/(D14))</f>
        <v>10</v>
      </c>
      <c r="E23" s="7">
        <f t="shared" si="3"/>
        <v>11.111111111111111</v>
      </c>
      <c r="F23" s="7">
        <f t="shared" si="3"/>
        <v>0</v>
      </c>
      <c r="G23" s="7">
        <f t="shared" si="3"/>
        <v>0</v>
      </c>
      <c r="H23" s="7">
        <f t="shared" si="3"/>
        <v>0</v>
      </c>
      <c r="I23" s="38">
        <f t="shared" si="3"/>
        <v>10.714285714285714</v>
      </c>
    </row>
    <row r="24" spans="2:9" ht="15" customHeight="1" x14ac:dyDescent="0.25">
      <c r="B24" s="39" t="s">
        <v>104</v>
      </c>
      <c r="D24" s="7">
        <f t="shared" ref="D24:I24" si="4">IF(ISERR((D6)/(D15)),0,(D6)/(D15))</f>
        <v>100</v>
      </c>
      <c r="E24" s="7">
        <f t="shared" si="4"/>
        <v>74.074074074074076</v>
      </c>
      <c r="F24" s="7">
        <f t="shared" si="4"/>
        <v>0</v>
      </c>
      <c r="G24" s="7">
        <f t="shared" si="4"/>
        <v>0</v>
      </c>
      <c r="H24" s="7">
        <f t="shared" si="4"/>
        <v>0</v>
      </c>
      <c r="I24" s="38">
        <f t="shared" si="4"/>
        <v>81.081081081081081</v>
      </c>
    </row>
    <row r="25" spans="2:9" ht="7.5" customHeight="1" x14ac:dyDescent="0.3">
      <c r="B25" s="92"/>
      <c r="D25" s="7"/>
      <c r="E25" s="7"/>
      <c r="F25" s="7"/>
      <c r="G25" s="7"/>
      <c r="H25" s="7"/>
      <c r="I25" s="38"/>
    </row>
    <row r="26" spans="2:9" ht="15" customHeight="1" x14ac:dyDescent="0.25">
      <c r="B26" s="39" t="s">
        <v>34</v>
      </c>
      <c r="D26" s="47">
        <f t="shared" ref="D26:I26" si="5">IF(ISERR((D6)/(D9*D7*D11)),0,((D6)/(D9*D7*D11)))</f>
        <v>0.01</v>
      </c>
      <c r="E26" s="47">
        <f t="shared" si="5"/>
        <v>2.2222222222222223E-2</v>
      </c>
      <c r="F26" s="47">
        <f t="shared" si="5"/>
        <v>0</v>
      </c>
      <c r="G26" s="47">
        <f t="shared" si="5"/>
        <v>0</v>
      </c>
      <c r="H26" s="47">
        <f t="shared" si="5"/>
        <v>0</v>
      </c>
      <c r="I26" s="49">
        <f t="shared" si="5"/>
        <v>0</v>
      </c>
    </row>
    <row r="27" spans="2:9" ht="15" customHeight="1" x14ac:dyDescent="0.25">
      <c r="B27" s="39" t="s">
        <v>38</v>
      </c>
      <c r="D27" s="47">
        <f t="shared" ref="D27:I27" si="6">IF(ISERR((D6)/(D7*D8*D11)),0,((D6)/(D7*D8*D11)))</f>
        <v>0.04</v>
      </c>
      <c r="E27" s="47">
        <f t="shared" si="6"/>
        <v>0.1111111111111111</v>
      </c>
      <c r="F27" s="47">
        <f t="shared" si="6"/>
        <v>0</v>
      </c>
      <c r="G27" s="47">
        <f t="shared" si="6"/>
        <v>0</v>
      </c>
      <c r="H27" s="47">
        <f t="shared" si="6"/>
        <v>0</v>
      </c>
      <c r="I27" s="49">
        <f t="shared" si="6"/>
        <v>0</v>
      </c>
    </row>
    <row r="28" spans="2:9" ht="15" customHeight="1" x14ac:dyDescent="0.25">
      <c r="B28" s="95" t="s">
        <v>39</v>
      </c>
      <c r="C28" s="3"/>
      <c r="D28" s="51">
        <f t="shared" ref="D28:I28" si="7">IF(ISERR((D6)/(D7*D8*D9)),0,(D6)/(D7*D8*D9))</f>
        <v>100</v>
      </c>
      <c r="E28" s="51">
        <f t="shared" si="7"/>
        <v>74.074074074074076</v>
      </c>
      <c r="F28" s="51">
        <f t="shared" si="7"/>
        <v>0</v>
      </c>
      <c r="G28" s="51">
        <f t="shared" si="7"/>
        <v>0</v>
      </c>
      <c r="H28" s="51">
        <f t="shared" si="7"/>
        <v>0</v>
      </c>
      <c r="I28" s="52">
        <f t="shared" si="7"/>
        <v>0</v>
      </c>
    </row>
    <row r="30" spans="2:9" x14ac:dyDescent="0.25">
      <c r="D30" s="70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14"/>
  <sheetViews>
    <sheetView showGridLines="0" workbookViewId="0"/>
  </sheetViews>
  <sheetFormatPr defaultRowHeight="12.5" x14ac:dyDescent="0.25"/>
  <cols>
    <col min="1" max="1" width="4.54296875" customWidth="1"/>
    <col min="2" max="2" width="27.26953125" style="99" customWidth="1"/>
    <col min="3" max="3" width="15.7265625" customWidth="1"/>
    <col min="4" max="4" width="15.453125" customWidth="1"/>
    <col min="5" max="5" width="15.26953125" customWidth="1"/>
    <col min="6" max="7" width="14.26953125" customWidth="1"/>
    <col min="8" max="8" width="14.1796875" customWidth="1"/>
  </cols>
  <sheetData>
    <row r="1" spans="1:6" x14ac:dyDescent="0.25">
      <c r="A1" s="100" t="s">
        <v>106</v>
      </c>
    </row>
    <row r="4" spans="1:6" ht="18" customHeight="1" x14ac:dyDescent="0.25"/>
    <row r="5" spans="1:6" ht="17.5" x14ac:dyDescent="0.35">
      <c r="B5" s="11" t="s">
        <v>128</v>
      </c>
    </row>
    <row r="6" spans="1:6" ht="14" x14ac:dyDescent="0.3">
      <c r="B6" s="98" t="s">
        <v>3</v>
      </c>
      <c r="C6" s="70"/>
    </row>
    <row r="8" spans="1:6" ht="18" customHeight="1" x14ac:dyDescent="0.35">
      <c r="B8" s="114" t="s">
        <v>72</v>
      </c>
      <c r="C8" s="115"/>
      <c r="D8" s="115"/>
      <c r="E8" s="115"/>
      <c r="F8" s="116"/>
    </row>
    <row r="9" spans="1:6" ht="15.75" customHeight="1" x14ac:dyDescent="0.25">
      <c r="B9" s="22"/>
      <c r="C9" s="71" t="s">
        <v>54</v>
      </c>
      <c r="D9" s="71" t="s">
        <v>55</v>
      </c>
      <c r="E9" s="71" t="s">
        <v>69</v>
      </c>
      <c r="F9" s="83" t="s">
        <v>68</v>
      </c>
    </row>
    <row r="10" spans="1:6" ht="15.75" customHeight="1" x14ac:dyDescent="0.25">
      <c r="B10" s="72" t="s">
        <v>18</v>
      </c>
      <c r="C10" s="63">
        <f>+Branding!D12</f>
        <v>632333.33333333302</v>
      </c>
      <c r="D10" s="63">
        <f>+Branding!E12</f>
        <v>390000</v>
      </c>
      <c r="E10" s="63">
        <f>+C10-D10</f>
        <v>242333.33333333302</v>
      </c>
      <c r="F10" s="84">
        <f>IF(ISERR(E10/D10),0,(E10/D10))</f>
        <v>0.6213675213675206</v>
      </c>
    </row>
    <row r="11" spans="1:6" ht="15.75" customHeight="1" x14ac:dyDescent="0.25">
      <c r="B11" s="72" t="s">
        <v>88</v>
      </c>
      <c r="C11" s="57">
        <f>+'Print, Radio, &amp; TV'!I19</f>
        <v>45000</v>
      </c>
      <c r="D11" s="63">
        <f>+'Print, Radio, &amp; TV'!I20+'Print, Radio, &amp; TV'!I21</f>
        <v>24000</v>
      </c>
      <c r="E11" s="63">
        <f>+C11-D11</f>
        <v>21000</v>
      </c>
      <c r="F11" s="84">
        <f>IF(ISERR(E11/D11),0,(E11/D11))</f>
        <v>0.875</v>
      </c>
    </row>
    <row r="12" spans="1:6" ht="15.75" customHeight="1" x14ac:dyDescent="0.25">
      <c r="B12" s="72" t="s">
        <v>89</v>
      </c>
      <c r="C12" s="63">
        <f>+'Mail &amp; eMail'!D20+'Mail &amp; eMail'!E20</f>
        <v>9450</v>
      </c>
      <c r="D12" s="63">
        <f>+'Mail &amp; eMail'!D21+'Mail &amp; eMail'!E21</f>
        <v>5500</v>
      </c>
      <c r="E12" s="63">
        <f>+C12-D12</f>
        <v>3950</v>
      </c>
      <c r="F12" s="84">
        <f>IF(ISERR(E12/D12),0,(E12/D12))</f>
        <v>0.71818181818181814</v>
      </c>
    </row>
    <row r="13" spans="1:6" ht="15.75" customHeight="1" x14ac:dyDescent="0.25">
      <c r="B13" s="73" t="s">
        <v>90</v>
      </c>
      <c r="C13" s="74">
        <f>+'PayPerClick &amp; Banner'!D20+'PayPerClick &amp; Banner'!E20</f>
        <v>2467.5</v>
      </c>
      <c r="D13" s="74">
        <f>+'PayPerClick &amp; Banner'!D21+'PayPerClick &amp; Banner'!E21</f>
        <v>1650</v>
      </c>
      <c r="E13" s="74">
        <f>+C13-D13</f>
        <v>817.5</v>
      </c>
      <c r="F13" s="85">
        <f>IF(ISERR(E13/D13),0,(E13/D13))</f>
        <v>0.49545454545454548</v>
      </c>
    </row>
    <row r="14" spans="1:6" ht="15.75" customHeight="1" x14ac:dyDescent="0.25">
      <c r="B14" s="75" t="s">
        <v>56</v>
      </c>
      <c r="C14" s="74">
        <f>SUM(C10:C13)</f>
        <v>689250.83333333302</v>
      </c>
      <c r="D14" s="74">
        <f>SUM(D10:D13)</f>
        <v>421150</v>
      </c>
      <c r="E14" s="74">
        <f>+C14-D14</f>
        <v>268100.83333333302</v>
      </c>
      <c r="F14" s="90">
        <f>IF(ISERR(E14/D14),0,(E14/D14))</f>
        <v>0.63659226720487483</v>
      </c>
    </row>
  </sheetData>
  <mergeCells count="1">
    <mergeCell ref="B8:F8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60"/>
  <sheetViews>
    <sheetView showGridLines="0" workbookViewId="0"/>
  </sheetViews>
  <sheetFormatPr defaultRowHeight="12.5" x14ac:dyDescent="0.25"/>
  <cols>
    <col min="1" max="1" width="4.54296875" customWidth="1"/>
    <col min="2" max="2" width="32.81640625" customWidth="1"/>
    <col min="3" max="5" width="15.1796875" customWidth="1"/>
    <col min="6" max="7" width="14.26953125" customWidth="1"/>
    <col min="8" max="8" width="14.1796875" customWidth="1"/>
  </cols>
  <sheetData>
    <row r="1" spans="1:7" x14ac:dyDescent="0.25">
      <c r="A1" s="100" t="s">
        <v>106</v>
      </c>
    </row>
    <row r="3" spans="1:7" ht="17.5" x14ac:dyDescent="0.35">
      <c r="B3" s="11" t="s">
        <v>71</v>
      </c>
    </row>
    <row r="4" spans="1:7" ht="14" x14ac:dyDescent="0.3">
      <c r="B4" s="6" t="s">
        <v>3</v>
      </c>
    </row>
    <row r="5" spans="1:7" ht="14" x14ac:dyDescent="0.3">
      <c r="B5" s="6"/>
    </row>
    <row r="6" spans="1:7" ht="18" customHeight="1" x14ac:dyDescent="0.35">
      <c r="B6" s="114" t="s">
        <v>72</v>
      </c>
      <c r="C6" s="115"/>
      <c r="D6" s="115"/>
      <c r="E6" s="115"/>
      <c r="F6" s="115"/>
      <c r="G6" s="116"/>
    </row>
    <row r="7" spans="1:7" ht="15" customHeight="1" x14ac:dyDescent="0.25">
      <c r="B7" s="1"/>
      <c r="C7" s="76" t="s">
        <v>87</v>
      </c>
      <c r="D7" s="71" t="s">
        <v>54</v>
      </c>
      <c r="E7" s="71" t="s">
        <v>55</v>
      </c>
      <c r="F7" s="71" t="s">
        <v>69</v>
      </c>
      <c r="G7" s="83" t="s">
        <v>68</v>
      </c>
    </row>
    <row r="8" spans="1:7" ht="15" customHeight="1" x14ac:dyDescent="0.25">
      <c r="B8" s="72" t="s">
        <v>61</v>
      </c>
      <c r="C8" s="89">
        <v>0.01</v>
      </c>
      <c r="D8" s="63">
        <f>+E22</f>
        <v>133333.33333333302</v>
      </c>
      <c r="E8" s="63">
        <f>+C25</f>
        <v>75000</v>
      </c>
      <c r="F8" s="63">
        <f>+D8-E8</f>
        <v>58333.333333333023</v>
      </c>
      <c r="G8" s="84">
        <f>IF(ISERR(F8/E8),0,(F8/E8))</f>
        <v>0.77777777777777368</v>
      </c>
    </row>
    <row r="9" spans="1:7" ht="15" customHeight="1" x14ac:dyDescent="0.25">
      <c r="B9" s="72" t="s">
        <v>62</v>
      </c>
      <c r="C9" s="89">
        <v>0.03</v>
      </c>
      <c r="D9" s="63">
        <f>+E32</f>
        <v>270000</v>
      </c>
      <c r="E9" s="63">
        <f>+C35</f>
        <v>150000</v>
      </c>
      <c r="F9" s="63">
        <f>+D9-E9</f>
        <v>120000</v>
      </c>
      <c r="G9" s="84">
        <f>IF(ISERR(F9/E9),0,(F9/E9))</f>
        <v>0.8</v>
      </c>
    </row>
    <row r="10" spans="1:7" ht="15" customHeight="1" x14ac:dyDescent="0.25">
      <c r="B10" s="72" t="s">
        <v>63</v>
      </c>
      <c r="C10" s="89">
        <v>2.5000000000000001E-2</v>
      </c>
      <c r="D10" s="63">
        <f>+E42</f>
        <v>125000</v>
      </c>
      <c r="E10" s="63">
        <f>+C45</f>
        <v>100000</v>
      </c>
      <c r="F10" s="63">
        <f>+D10-E10</f>
        <v>25000</v>
      </c>
      <c r="G10" s="84">
        <f>IF(ISERR(F10/E10),0,(F10/E10))</f>
        <v>0.25</v>
      </c>
    </row>
    <row r="11" spans="1:7" ht="15" customHeight="1" x14ac:dyDescent="0.25">
      <c r="B11" s="73" t="s">
        <v>64</v>
      </c>
      <c r="C11" s="89">
        <v>0.04</v>
      </c>
      <c r="D11" s="74">
        <f>+E52</f>
        <v>104000</v>
      </c>
      <c r="E11" s="74">
        <f>+C55</f>
        <v>65000</v>
      </c>
      <c r="F11" s="74">
        <f>+D11-E11</f>
        <v>39000</v>
      </c>
      <c r="G11" s="85">
        <f>IF(ISERR(F11/E11),0,(F11/E11))</f>
        <v>0.6</v>
      </c>
    </row>
    <row r="12" spans="1:7" ht="15" customHeight="1" x14ac:dyDescent="0.25">
      <c r="B12" s="75" t="s">
        <v>56</v>
      </c>
      <c r="C12" s="3"/>
      <c r="D12" s="74">
        <f>SUM(D8:D11)</f>
        <v>632333.33333333302</v>
      </c>
      <c r="E12" s="74">
        <f>SUM(E8:E11)</f>
        <v>390000</v>
      </c>
      <c r="F12" s="74">
        <f>+D12-E12</f>
        <v>242333.33333333302</v>
      </c>
      <c r="G12" s="90">
        <f>IF(ISERR(F12/E12),0,(F12/E12))</f>
        <v>0.6213675213675206</v>
      </c>
    </row>
    <row r="13" spans="1:7" x14ac:dyDescent="0.25">
      <c r="B13" s="43"/>
      <c r="C13" s="63"/>
      <c r="D13" s="63"/>
      <c r="E13" s="63"/>
      <c r="F13" s="63"/>
    </row>
    <row r="14" spans="1:7" ht="13" x14ac:dyDescent="0.3">
      <c r="B14" s="43"/>
      <c r="C14" s="30">
        <f>IF(ISERR(+C13/(C12+C11)),0,+C13/(C12+C11))</f>
        <v>0</v>
      </c>
      <c r="D14" s="63"/>
      <c r="E14" s="63"/>
      <c r="F14" s="63"/>
    </row>
    <row r="15" spans="1:7" x14ac:dyDescent="0.25">
      <c r="B15" s="43"/>
      <c r="C15" s="63"/>
      <c r="D15" s="63"/>
      <c r="E15" s="63"/>
      <c r="F15" s="63"/>
    </row>
    <row r="16" spans="1:7" ht="15.5" x14ac:dyDescent="0.35">
      <c r="B16" s="108" t="s">
        <v>61</v>
      </c>
      <c r="C16" s="109" t="s">
        <v>65</v>
      </c>
      <c r="D16" s="105" t="s">
        <v>66</v>
      </c>
      <c r="E16" s="106" t="s">
        <v>67</v>
      </c>
      <c r="F16" s="43"/>
    </row>
    <row r="17" spans="2:5" ht="14.25" customHeight="1" x14ac:dyDescent="0.25">
      <c r="B17" s="1" t="s">
        <v>53</v>
      </c>
      <c r="C17" s="58">
        <v>150000000</v>
      </c>
      <c r="D17" s="60">
        <f>+C17</f>
        <v>150000000</v>
      </c>
      <c r="E17" s="77"/>
    </row>
    <row r="18" spans="2:5" ht="14.25" customHeight="1" x14ac:dyDescent="0.25">
      <c r="B18" s="1" t="s">
        <v>75</v>
      </c>
      <c r="C18" s="59">
        <v>0.3</v>
      </c>
      <c r="D18" s="61">
        <f>+C18+C8</f>
        <v>0.31</v>
      </c>
      <c r="E18" s="78">
        <f>+D18-C18</f>
        <v>1.0000000000000009E-2</v>
      </c>
    </row>
    <row r="19" spans="2:5" ht="14.25" customHeight="1" x14ac:dyDescent="0.25">
      <c r="B19" s="1" t="s">
        <v>52</v>
      </c>
      <c r="C19" s="60">
        <f>+C17*C18</f>
        <v>45000000</v>
      </c>
      <c r="D19" s="60">
        <f>+D17*D18</f>
        <v>46500000</v>
      </c>
      <c r="E19" s="77">
        <f>+D19-C19</f>
        <v>1500000</v>
      </c>
    </row>
    <row r="20" spans="2:5" ht="14.25" customHeight="1" x14ac:dyDescent="0.25">
      <c r="B20" s="1" t="s">
        <v>79</v>
      </c>
      <c r="C20" s="58">
        <v>20000000</v>
      </c>
      <c r="D20" s="60">
        <f>IF(ISERR(+D19*(C20/(C19))),0,(+D19*(C20/(C19))))</f>
        <v>20666666.666666664</v>
      </c>
      <c r="E20" s="77">
        <f>+D20-C20</f>
        <v>666666.66666666418</v>
      </c>
    </row>
    <row r="21" spans="2:5" ht="14.25" customHeight="1" x14ac:dyDescent="0.25">
      <c r="B21" s="1" t="s">
        <v>76</v>
      </c>
      <c r="C21" s="59">
        <v>0.2</v>
      </c>
      <c r="D21" s="61">
        <f>+C21</f>
        <v>0.2</v>
      </c>
      <c r="E21" s="79"/>
    </row>
    <row r="22" spans="2:5" ht="14.25" customHeight="1" x14ac:dyDescent="0.25">
      <c r="B22" s="1" t="s">
        <v>54</v>
      </c>
      <c r="C22" s="60">
        <f>+C20*C21</f>
        <v>4000000</v>
      </c>
      <c r="D22" s="60">
        <f>+D20*D21</f>
        <v>4133333.333333333</v>
      </c>
      <c r="E22" s="77">
        <f>+D22-C22</f>
        <v>133333.33333333302</v>
      </c>
    </row>
    <row r="23" spans="2:5" ht="14.25" customHeight="1" x14ac:dyDescent="0.25">
      <c r="B23" s="1"/>
      <c r="C23" s="60"/>
      <c r="D23" s="60"/>
      <c r="E23" s="77"/>
    </row>
    <row r="24" spans="2:5" ht="14.25" customHeight="1" x14ac:dyDescent="0.25">
      <c r="B24" s="72" t="s">
        <v>73</v>
      </c>
      <c r="C24" s="88">
        <f>+C8</f>
        <v>0.01</v>
      </c>
      <c r="D24" s="62"/>
      <c r="E24" s="80"/>
    </row>
    <row r="25" spans="2:5" ht="14.25" customHeight="1" x14ac:dyDescent="0.25">
      <c r="B25" s="75" t="s">
        <v>51</v>
      </c>
      <c r="C25" s="81">
        <v>75000</v>
      </c>
      <c r="D25" s="61"/>
      <c r="E25" s="82"/>
    </row>
    <row r="26" spans="2:5" ht="23.25" customHeight="1" x14ac:dyDescent="0.25">
      <c r="D26" s="62"/>
      <c r="E26" s="62"/>
    </row>
    <row r="27" spans="2:5" ht="15.5" x14ac:dyDescent="0.35">
      <c r="B27" s="108" t="s">
        <v>62</v>
      </c>
      <c r="C27" s="109" t="s">
        <v>65</v>
      </c>
      <c r="D27" s="105" t="s">
        <v>66</v>
      </c>
      <c r="E27" s="106" t="s">
        <v>67</v>
      </c>
    </row>
    <row r="28" spans="2:5" ht="15" customHeight="1" x14ac:dyDescent="0.25">
      <c r="B28" s="1" t="s">
        <v>52</v>
      </c>
      <c r="C28" s="58">
        <v>45000000</v>
      </c>
      <c r="D28" s="60">
        <f>+C28</f>
        <v>45000000</v>
      </c>
      <c r="E28" s="77"/>
    </row>
    <row r="29" spans="2:5" ht="15" customHeight="1" x14ac:dyDescent="0.25">
      <c r="B29" s="1" t="s">
        <v>70</v>
      </c>
      <c r="C29" s="59">
        <v>0.44</v>
      </c>
      <c r="D29" s="61">
        <f>+C29+C9</f>
        <v>0.47</v>
      </c>
      <c r="E29" s="82">
        <f>+D29-C29</f>
        <v>2.9999999999999971E-2</v>
      </c>
    </row>
    <row r="30" spans="2:5" ht="15" customHeight="1" x14ac:dyDescent="0.25">
      <c r="B30" s="1" t="s">
        <v>79</v>
      </c>
      <c r="C30" s="60">
        <f>+C28*C29</f>
        <v>19800000</v>
      </c>
      <c r="D30" s="60">
        <f>+D28*D29</f>
        <v>21150000</v>
      </c>
      <c r="E30" s="77">
        <f>+D30-C30</f>
        <v>1350000</v>
      </c>
    </row>
    <row r="31" spans="2:5" ht="15" customHeight="1" x14ac:dyDescent="0.25">
      <c r="B31" s="1" t="s">
        <v>76</v>
      </c>
      <c r="C31" s="59">
        <v>0.2</v>
      </c>
      <c r="D31" s="61">
        <f>+C31</f>
        <v>0.2</v>
      </c>
      <c r="E31" s="82"/>
    </row>
    <row r="32" spans="2:5" ht="15" customHeight="1" x14ac:dyDescent="0.25">
      <c r="B32" s="1" t="s">
        <v>54</v>
      </c>
      <c r="C32" s="60">
        <f>+C30*C31</f>
        <v>3960000</v>
      </c>
      <c r="D32" s="60">
        <f>+D30*D31</f>
        <v>4230000</v>
      </c>
      <c r="E32" s="77">
        <f>+D32-C32</f>
        <v>270000</v>
      </c>
    </row>
    <row r="33" spans="2:5" ht="15" customHeight="1" x14ac:dyDescent="0.25">
      <c r="B33" s="1"/>
      <c r="C33" s="60"/>
      <c r="D33" s="60"/>
      <c r="E33" s="77"/>
    </row>
    <row r="34" spans="2:5" ht="15" customHeight="1" x14ac:dyDescent="0.25">
      <c r="B34" s="72" t="s">
        <v>74</v>
      </c>
      <c r="C34" s="88">
        <f>+C9</f>
        <v>0.03</v>
      </c>
      <c r="D34" s="62"/>
      <c r="E34" s="80"/>
    </row>
    <row r="35" spans="2:5" ht="15" customHeight="1" x14ac:dyDescent="0.25">
      <c r="B35" s="75" t="s">
        <v>51</v>
      </c>
      <c r="C35" s="81">
        <v>150000</v>
      </c>
      <c r="D35" s="61"/>
      <c r="E35" s="82"/>
    </row>
    <row r="36" spans="2:5" ht="23.25" customHeight="1" x14ac:dyDescent="0.25">
      <c r="D36" s="62"/>
      <c r="E36" s="62"/>
    </row>
    <row r="37" spans="2:5" ht="15.5" x14ac:dyDescent="0.35">
      <c r="B37" s="108" t="s">
        <v>63</v>
      </c>
      <c r="C37" s="109" t="s">
        <v>65</v>
      </c>
      <c r="D37" s="105" t="s">
        <v>66</v>
      </c>
      <c r="E37" s="106" t="s">
        <v>67</v>
      </c>
    </row>
    <row r="38" spans="2:5" ht="15" customHeight="1" x14ac:dyDescent="0.25">
      <c r="B38" s="1" t="s">
        <v>77</v>
      </c>
      <c r="C38" s="58">
        <v>20000000</v>
      </c>
      <c r="D38" s="60">
        <f>+C38</f>
        <v>20000000</v>
      </c>
      <c r="E38" s="77"/>
    </row>
    <row r="39" spans="2:5" ht="15" customHeight="1" x14ac:dyDescent="0.25">
      <c r="B39" s="1" t="s">
        <v>78</v>
      </c>
      <c r="C39" s="59">
        <v>0.74</v>
      </c>
      <c r="D39" s="61">
        <f>+C39+C10</f>
        <v>0.76500000000000001</v>
      </c>
      <c r="E39" s="82">
        <f>+D39-C39</f>
        <v>2.5000000000000022E-2</v>
      </c>
    </row>
    <row r="40" spans="2:5" ht="15" customHeight="1" x14ac:dyDescent="0.25">
      <c r="B40" s="1" t="s">
        <v>80</v>
      </c>
      <c r="C40" s="60">
        <f>+C38*C39</f>
        <v>14800000</v>
      </c>
      <c r="D40" s="60">
        <f>+D38*D39</f>
        <v>15300000</v>
      </c>
      <c r="E40" s="77">
        <f>+D40-C40</f>
        <v>500000</v>
      </c>
    </row>
    <row r="41" spans="2:5" ht="15" customHeight="1" x14ac:dyDescent="0.25">
      <c r="B41" s="1" t="s">
        <v>81</v>
      </c>
      <c r="C41" s="59">
        <v>0.25</v>
      </c>
      <c r="D41" s="61">
        <f>+C41</f>
        <v>0.25</v>
      </c>
      <c r="E41" s="82"/>
    </row>
    <row r="42" spans="2:5" ht="15" customHeight="1" x14ac:dyDescent="0.25">
      <c r="B42" s="1" t="s">
        <v>54</v>
      </c>
      <c r="C42" s="60">
        <f>+C40*C41</f>
        <v>3700000</v>
      </c>
      <c r="D42" s="60">
        <f>+D40*D41</f>
        <v>3825000</v>
      </c>
      <c r="E42" s="77">
        <f>+D42-C42</f>
        <v>125000</v>
      </c>
    </row>
    <row r="43" spans="2:5" x14ac:dyDescent="0.25">
      <c r="B43" s="1"/>
      <c r="C43" s="60"/>
      <c r="D43" s="60"/>
      <c r="E43" s="77"/>
    </row>
    <row r="44" spans="2:5" ht="15" customHeight="1" x14ac:dyDescent="0.25">
      <c r="B44" s="72" t="s">
        <v>73</v>
      </c>
      <c r="C44" s="88">
        <f>+C10</f>
        <v>2.5000000000000001E-2</v>
      </c>
      <c r="D44" s="62"/>
      <c r="E44" s="80"/>
    </row>
    <row r="45" spans="2:5" ht="15" customHeight="1" x14ac:dyDescent="0.25">
      <c r="B45" s="75" t="s">
        <v>51</v>
      </c>
      <c r="C45" s="81">
        <v>100000</v>
      </c>
      <c r="D45" s="61"/>
      <c r="E45" s="82"/>
    </row>
    <row r="46" spans="2:5" ht="23.25" customHeight="1" x14ac:dyDescent="0.25">
      <c r="D46" s="62"/>
      <c r="E46" s="62"/>
    </row>
    <row r="47" spans="2:5" ht="15.5" x14ac:dyDescent="0.35">
      <c r="B47" s="108" t="s">
        <v>82</v>
      </c>
      <c r="C47" s="109" t="s">
        <v>65</v>
      </c>
      <c r="D47" s="105" t="s">
        <v>66</v>
      </c>
      <c r="E47" s="106" t="s">
        <v>67</v>
      </c>
    </row>
    <row r="48" spans="2:5" ht="15" customHeight="1" x14ac:dyDescent="0.25">
      <c r="B48" s="1" t="s">
        <v>85</v>
      </c>
      <c r="C48" s="58">
        <v>2500</v>
      </c>
      <c r="D48" s="60">
        <f>+C48*(1+C11)</f>
        <v>2600</v>
      </c>
      <c r="E48" s="77">
        <f>+D48-C48</f>
        <v>100</v>
      </c>
    </row>
    <row r="49" spans="2:5" ht="15" customHeight="1" x14ac:dyDescent="0.25">
      <c r="B49" s="1" t="s">
        <v>84</v>
      </c>
      <c r="C49" s="86">
        <v>5200</v>
      </c>
      <c r="D49" s="87">
        <f>+C49</f>
        <v>5200</v>
      </c>
      <c r="E49" s="82"/>
    </row>
    <row r="50" spans="2:5" ht="15" customHeight="1" x14ac:dyDescent="0.25">
      <c r="B50" s="1" t="s">
        <v>83</v>
      </c>
      <c r="C50" s="60">
        <f>+C49*C48</f>
        <v>13000000</v>
      </c>
      <c r="D50" s="60">
        <f>+D48*D49</f>
        <v>13520000</v>
      </c>
      <c r="E50" s="77">
        <f>+D50-C50</f>
        <v>520000</v>
      </c>
    </row>
    <row r="51" spans="2:5" ht="15" customHeight="1" x14ac:dyDescent="0.25">
      <c r="B51" s="1" t="s">
        <v>86</v>
      </c>
      <c r="C51" s="59">
        <v>0.2</v>
      </c>
      <c r="D51" s="61">
        <f>+C51</f>
        <v>0.2</v>
      </c>
      <c r="E51" s="82"/>
    </row>
    <row r="52" spans="2:5" ht="15" customHeight="1" x14ac:dyDescent="0.25">
      <c r="B52" s="1" t="s">
        <v>54</v>
      </c>
      <c r="C52" s="60">
        <f>+C51*C50</f>
        <v>2600000</v>
      </c>
      <c r="D52" s="60">
        <f>+D51*D50</f>
        <v>2704000</v>
      </c>
      <c r="E52" s="77">
        <f>+D52-C52</f>
        <v>104000</v>
      </c>
    </row>
    <row r="53" spans="2:5" ht="15" customHeight="1" x14ac:dyDescent="0.25">
      <c r="B53" s="1"/>
      <c r="C53" s="60"/>
      <c r="D53" s="60"/>
      <c r="E53" s="77"/>
    </row>
    <row r="54" spans="2:5" ht="15" customHeight="1" x14ac:dyDescent="0.25">
      <c r="B54" s="72" t="s">
        <v>73</v>
      </c>
      <c r="C54" s="88">
        <f>+C11</f>
        <v>0.04</v>
      </c>
      <c r="D54" s="62"/>
      <c r="E54" s="80"/>
    </row>
    <row r="55" spans="2:5" ht="15" customHeight="1" x14ac:dyDescent="0.25">
      <c r="B55" s="75" t="s">
        <v>51</v>
      </c>
      <c r="C55" s="81">
        <v>65000</v>
      </c>
      <c r="D55" s="61"/>
      <c r="E55" s="82"/>
    </row>
    <row r="56" spans="2:5" x14ac:dyDescent="0.25">
      <c r="D56" s="62"/>
      <c r="E56" s="62"/>
    </row>
    <row r="57" spans="2:5" x14ac:dyDescent="0.25">
      <c r="D57" s="62"/>
      <c r="E57" s="62"/>
    </row>
    <row r="58" spans="2:5" x14ac:dyDescent="0.25">
      <c r="D58" s="62"/>
      <c r="E58" s="62"/>
    </row>
    <row r="59" spans="2:5" x14ac:dyDescent="0.25">
      <c r="D59" s="62"/>
      <c r="E59" s="62"/>
    </row>
    <row r="60" spans="2:5" x14ac:dyDescent="0.25">
      <c r="D60" s="62"/>
      <c r="E60" s="62"/>
    </row>
  </sheetData>
  <mergeCells count="1">
    <mergeCell ref="B6:G6"/>
  </mergeCells>
  <phoneticPr fontId="0" type="noConversion"/>
  <pageMargins left="0.75" right="0.75" top="1" bottom="1" header="0.5" footer="0.5"/>
  <pageSetup orientation="portrait" r:id="rId1"/>
  <headerFooter alignWithMargins="0"/>
  <ignoredErrors>
    <ignoredError sqref="D50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5"/>
  <sheetViews>
    <sheetView showGridLines="0" workbookViewId="0"/>
  </sheetViews>
  <sheetFormatPr defaultRowHeight="12.5" x14ac:dyDescent="0.25"/>
  <cols>
    <col min="1" max="1" width="4.54296875" customWidth="1"/>
    <col min="2" max="2" width="21.26953125" customWidth="1"/>
    <col min="3" max="3" width="20.7265625" customWidth="1"/>
    <col min="4" max="5" width="14.1796875" customWidth="1"/>
    <col min="6" max="8" width="14.26953125" customWidth="1"/>
    <col min="9" max="9" width="14.1796875" customWidth="1"/>
  </cols>
  <sheetData>
    <row r="1" spans="1:9" x14ac:dyDescent="0.25">
      <c r="A1" s="100" t="s">
        <v>106</v>
      </c>
    </row>
    <row r="4" spans="1:9" ht="18" customHeight="1" x14ac:dyDescent="0.35">
      <c r="B4" s="11" t="s">
        <v>49</v>
      </c>
    </row>
    <row r="5" spans="1:9" ht="14" x14ac:dyDescent="0.3">
      <c r="B5" s="6" t="s">
        <v>3</v>
      </c>
    </row>
    <row r="6" spans="1:9" ht="15.5" x14ac:dyDescent="0.35">
      <c r="B6" s="104" t="s">
        <v>1</v>
      </c>
      <c r="C6" s="104"/>
      <c r="D6" s="105" t="s">
        <v>4</v>
      </c>
      <c r="E6" s="105" t="s">
        <v>57</v>
      </c>
      <c r="F6" s="105" t="s">
        <v>58</v>
      </c>
      <c r="G6" s="105" t="s">
        <v>59</v>
      </c>
      <c r="H6" s="105" t="s">
        <v>60</v>
      </c>
      <c r="I6" s="106" t="s">
        <v>56</v>
      </c>
    </row>
    <row r="7" spans="1:9" ht="15" customHeight="1" x14ac:dyDescent="0.25">
      <c r="B7" s="1" t="s">
        <v>41</v>
      </c>
      <c r="D7" s="9">
        <v>100000</v>
      </c>
      <c r="E7" s="9">
        <v>50000</v>
      </c>
      <c r="F7" s="9">
        <v>0</v>
      </c>
      <c r="G7" s="9">
        <v>0</v>
      </c>
      <c r="H7" s="9">
        <v>0</v>
      </c>
      <c r="I7" s="64">
        <f>SUM(D7:H7)</f>
        <v>150000</v>
      </c>
    </row>
    <row r="8" spans="1:9" ht="15" customHeight="1" x14ac:dyDescent="0.25">
      <c r="B8" s="1" t="s">
        <v>43</v>
      </c>
      <c r="D8" s="55">
        <v>2500</v>
      </c>
      <c r="E8" s="55">
        <v>1000</v>
      </c>
      <c r="F8" s="55">
        <v>0</v>
      </c>
      <c r="G8" s="55">
        <v>0</v>
      </c>
      <c r="H8" s="55">
        <v>0</v>
      </c>
      <c r="I8" s="65" t="s">
        <v>9</v>
      </c>
    </row>
    <row r="9" spans="1:9" ht="15" customHeight="1" x14ac:dyDescent="0.25">
      <c r="B9" s="1" t="s">
        <v>42</v>
      </c>
      <c r="D9" s="9">
        <v>5</v>
      </c>
      <c r="E9" s="9">
        <v>5</v>
      </c>
      <c r="F9" s="9">
        <v>0</v>
      </c>
      <c r="G9" s="9">
        <v>0</v>
      </c>
      <c r="H9" s="9">
        <v>0</v>
      </c>
      <c r="I9" s="64">
        <f>SUM(D9:H9)</f>
        <v>10</v>
      </c>
    </row>
    <row r="10" spans="1:9" ht="15" customHeight="1" x14ac:dyDescent="0.25">
      <c r="B10" s="1" t="s">
        <v>45</v>
      </c>
      <c r="D10" s="55">
        <v>4000</v>
      </c>
      <c r="E10" s="55">
        <v>2500</v>
      </c>
      <c r="F10" s="55">
        <v>0</v>
      </c>
      <c r="G10" s="55">
        <v>0</v>
      </c>
      <c r="H10" s="55">
        <v>0</v>
      </c>
      <c r="I10" s="33">
        <f>SUM(D10:H10)</f>
        <v>6500</v>
      </c>
    </row>
    <row r="11" spans="1:9" ht="15" customHeight="1" x14ac:dyDescent="0.25">
      <c r="B11" s="1" t="s">
        <v>44</v>
      </c>
      <c r="D11" s="8">
        <v>0.01</v>
      </c>
      <c r="E11" s="8">
        <v>0.02</v>
      </c>
      <c r="F11" s="8">
        <v>0</v>
      </c>
      <c r="G11" s="8">
        <v>0</v>
      </c>
      <c r="H11" s="8">
        <v>0</v>
      </c>
      <c r="I11" s="65" t="s">
        <v>9</v>
      </c>
    </row>
    <row r="12" spans="1:9" ht="15" customHeight="1" x14ac:dyDescent="0.25">
      <c r="B12" s="1" t="s">
        <v>33</v>
      </c>
      <c r="D12" s="8">
        <v>0.2</v>
      </c>
      <c r="E12" s="8">
        <v>0.15</v>
      </c>
      <c r="F12" s="8">
        <v>0</v>
      </c>
      <c r="G12" s="8">
        <v>0</v>
      </c>
      <c r="H12" s="8">
        <v>0</v>
      </c>
      <c r="I12" s="65" t="s">
        <v>9</v>
      </c>
    </row>
    <row r="13" spans="1:9" ht="15" customHeight="1" x14ac:dyDescent="0.25">
      <c r="B13" s="24" t="s">
        <v>21</v>
      </c>
      <c r="C13" s="3"/>
      <c r="D13" s="12">
        <v>150</v>
      </c>
      <c r="E13" s="12">
        <v>100</v>
      </c>
      <c r="F13" s="12">
        <v>0</v>
      </c>
      <c r="G13" s="12">
        <v>0</v>
      </c>
      <c r="H13" s="12">
        <v>0</v>
      </c>
      <c r="I13" s="68" t="s">
        <v>9</v>
      </c>
    </row>
    <row r="14" spans="1:9" ht="24" customHeight="1" x14ac:dyDescent="0.25"/>
    <row r="15" spans="1:9" ht="15.5" x14ac:dyDescent="0.35">
      <c r="B15" s="104" t="s">
        <v>2</v>
      </c>
      <c r="C15" s="104"/>
      <c r="D15" s="105" t="s">
        <v>4</v>
      </c>
      <c r="E15" s="105" t="s">
        <v>57</v>
      </c>
      <c r="F15" s="105" t="s">
        <v>58</v>
      </c>
      <c r="G15" s="105" t="s">
        <v>59</v>
      </c>
      <c r="H15" s="105" t="s">
        <v>60</v>
      </c>
      <c r="I15" s="106" t="s">
        <v>56</v>
      </c>
    </row>
    <row r="16" spans="1:9" ht="15" customHeight="1" x14ac:dyDescent="0.25">
      <c r="B16" s="1" t="s">
        <v>11</v>
      </c>
      <c r="D16" s="15">
        <f>+D7*D11</f>
        <v>1000</v>
      </c>
      <c r="E16" s="15">
        <f>+E7*E11</f>
        <v>1000</v>
      </c>
      <c r="F16" s="15">
        <f>+F7*F11</f>
        <v>0</v>
      </c>
      <c r="G16" s="15">
        <f>+G7*G11</f>
        <v>0</v>
      </c>
      <c r="H16" s="15">
        <f>+H7*H11</f>
        <v>0</v>
      </c>
      <c r="I16" s="66">
        <f>SUM(D16:H16)</f>
        <v>2000</v>
      </c>
    </row>
    <row r="17" spans="2:9" ht="15" customHeight="1" x14ac:dyDescent="0.25">
      <c r="B17" s="1" t="s">
        <v>24</v>
      </c>
      <c r="D17" s="15">
        <f>+D16*D12</f>
        <v>200</v>
      </c>
      <c r="E17" s="15">
        <f>+E16*E12</f>
        <v>150</v>
      </c>
      <c r="F17" s="15">
        <f>+F16*F12</f>
        <v>0</v>
      </c>
      <c r="G17" s="15">
        <f>+G16*G12</f>
        <v>0</v>
      </c>
      <c r="H17" s="15">
        <f>+H16*H12</f>
        <v>0</v>
      </c>
      <c r="I17" s="66">
        <f>SUM(D17:H17)</f>
        <v>350</v>
      </c>
    </row>
    <row r="18" spans="2:9" ht="7.5" customHeight="1" x14ac:dyDescent="0.25">
      <c r="B18" s="1"/>
      <c r="I18" s="2"/>
    </row>
    <row r="19" spans="2:9" ht="15" customHeight="1" x14ac:dyDescent="0.25">
      <c r="B19" s="39" t="s">
        <v>22</v>
      </c>
      <c r="C19" s="14"/>
      <c r="D19" s="32">
        <f>+D17*D13</f>
        <v>30000</v>
      </c>
      <c r="E19" s="32">
        <f>+E17*E13</f>
        <v>15000</v>
      </c>
      <c r="F19" s="32">
        <f>+F17*F13</f>
        <v>0</v>
      </c>
      <c r="G19" s="32">
        <f>+G17*G13</f>
        <v>0</v>
      </c>
      <c r="H19" s="32">
        <f>+H17*H13</f>
        <v>0</v>
      </c>
      <c r="I19" s="33">
        <f>SUM(D19:H19)</f>
        <v>45000</v>
      </c>
    </row>
    <row r="20" spans="2:9" ht="15" customHeight="1" x14ac:dyDescent="0.25">
      <c r="B20" s="39" t="s">
        <v>46</v>
      </c>
      <c r="C20" s="14"/>
      <c r="D20" s="32">
        <f>+D10</f>
        <v>4000</v>
      </c>
      <c r="E20" s="32">
        <f>+E10</f>
        <v>2500</v>
      </c>
      <c r="F20" s="32">
        <f>+F10</f>
        <v>0</v>
      </c>
      <c r="G20" s="32">
        <f>+G10</f>
        <v>0</v>
      </c>
      <c r="H20" s="32">
        <f>+H10</f>
        <v>0</v>
      </c>
      <c r="I20" s="33">
        <f>SUM(D20:H20)</f>
        <v>6500</v>
      </c>
    </row>
    <row r="21" spans="2:9" ht="15" customHeight="1" x14ac:dyDescent="0.25">
      <c r="B21" s="40" t="s">
        <v>47</v>
      </c>
      <c r="C21" s="14"/>
      <c r="D21" s="25">
        <f>+D8*D9</f>
        <v>12500</v>
      </c>
      <c r="E21" s="25">
        <f>+E8*E9</f>
        <v>5000</v>
      </c>
      <c r="F21" s="25">
        <f>+F8*F9</f>
        <v>0</v>
      </c>
      <c r="G21" s="25">
        <f>+G8*G9</f>
        <v>0</v>
      </c>
      <c r="H21" s="25">
        <f>+H8*H9</f>
        <v>0</v>
      </c>
      <c r="I21" s="26">
        <f>SUM(D21:H21)</f>
        <v>17500</v>
      </c>
    </row>
    <row r="22" spans="2:9" ht="15" customHeight="1" x14ac:dyDescent="0.3">
      <c r="B22" s="29" t="s">
        <v>25</v>
      </c>
      <c r="C22" s="13"/>
      <c r="D22" s="27">
        <f t="shared" ref="D22:I22" si="0">+D19-D20-D21</f>
        <v>13500</v>
      </c>
      <c r="E22" s="27">
        <f t="shared" si="0"/>
        <v>7500</v>
      </c>
      <c r="F22" s="27">
        <f t="shared" si="0"/>
        <v>0</v>
      </c>
      <c r="G22" s="27">
        <f t="shared" si="0"/>
        <v>0</v>
      </c>
      <c r="H22" s="27">
        <f t="shared" si="0"/>
        <v>0</v>
      </c>
      <c r="I22" s="28">
        <f t="shared" si="0"/>
        <v>21000</v>
      </c>
    </row>
    <row r="23" spans="2:9" ht="15" customHeight="1" x14ac:dyDescent="0.3">
      <c r="B23" s="29" t="s">
        <v>0</v>
      </c>
      <c r="C23" s="13"/>
      <c r="D23" s="30">
        <f t="shared" ref="D23:I23" si="1">IF(ISERR(+D22/(D21+D20)),0,+D22/(D21+D20))</f>
        <v>0.81818181818181823</v>
      </c>
      <c r="E23" s="30">
        <f t="shared" si="1"/>
        <v>1</v>
      </c>
      <c r="F23" s="30">
        <f t="shared" si="1"/>
        <v>0</v>
      </c>
      <c r="G23" s="30">
        <f t="shared" si="1"/>
        <v>0</v>
      </c>
      <c r="H23" s="30">
        <f t="shared" si="1"/>
        <v>0</v>
      </c>
      <c r="I23" s="31">
        <f t="shared" si="1"/>
        <v>0.875</v>
      </c>
    </row>
    <row r="24" spans="2:9" ht="7.5" customHeight="1" x14ac:dyDescent="0.25">
      <c r="B24" s="22"/>
      <c r="D24" s="7"/>
      <c r="E24" s="7"/>
      <c r="F24" s="69"/>
      <c r="G24" s="69"/>
      <c r="H24" s="69"/>
      <c r="I24" s="38"/>
    </row>
    <row r="25" spans="2:9" ht="15" customHeight="1" x14ac:dyDescent="0.25">
      <c r="B25" s="1" t="s">
        <v>48</v>
      </c>
      <c r="D25" s="7">
        <f t="shared" ref="D25:I25" si="2">IF(ISERR((D20+D21)/(D7/1000)),0,(D20+D21)/(D7/1000))</f>
        <v>165</v>
      </c>
      <c r="E25" s="7">
        <f t="shared" si="2"/>
        <v>150</v>
      </c>
      <c r="F25" s="7">
        <f t="shared" si="2"/>
        <v>0</v>
      </c>
      <c r="G25" s="7">
        <f t="shared" si="2"/>
        <v>0</v>
      </c>
      <c r="H25" s="7">
        <f t="shared" si="2"/>
        <v>0</v>
      </c>
      <c r="I25" s="38">
        <f t="shared" si="2"/>
        <v>160</v>
      </c>
    </row>
    <row r="26" spans="2:9" ht="15" customHeight="1" x14ac:dyDescent="0.25">
      <c r="B26" s="1" t="s">
        <v>12</v>
      </c>
      <c r="D26" s="7">
        <f t="shared" ref="D26:I26" si="3">IF(ISERR((+D21+D20)/D16),0,(+D21+D20)/D16)</f>
        <v>16.5</v>
      </c>
      <c r="E26" s="7">
        <f t="shared" si="3"/>
        <v>7.5</v>
      </c>
      <c r="F26" s="7">
        <f t="shared" si="3"/>
        <v>0</v>
      </c>
      <c r="G26" s="7">
        <f t="shared" si="3"/>
        <v>0</v>
      </c>
      <c r="H26" s="7">
        <f t="shared" si="3"/>
        <v>0</v>
      </c>
      <c r="I26" s="38">
        <f t="shared" si="3"/>
        <v>12</v>
      </c>
    </row>
    <row r="27" spans="2:9" ht="15" customHeight="1" x14ac:dyDescent="0.25">
      <c r="B27" s="1" t="s">
        <v>13</v>
      </c>
      <c r="D27" s="7">
        <f t="shared" ref="D27:I27" si="4">IF(ISERR((+D21+D20)/D17),0,(+D21+D20)/D17)</f>
        <v>82.5</v>
      </c>
      <c r="E27" s="7">
        <f t="shared" si="4"/>
        <v>50</v>
      </c>
      <c r="F27" s="7">
        <f t="shared" si="4"/>
        <v>0</v>
      </c>
      <c r="G27" s="7">
        <f t="shared" si="4"/>
        <v>0</v>
      </c>
      <c r="H27" s="7">
        <f t="shared" si="4"/>
        <v>0</v>
      </c>
      <c r="I27" s="38">
        <f t="shared" si="4"/>
        <v>68.571428571428569</v>
      </c>
    </row>
    <row r="28" spans="2:9" ht="7.5" customHeight="1" x14ac:dyDescent="0.25">
      <c r="B28" s="1"/>
      <c r="D28" s="7"/>
      <c r="E28" s="7"/>
      <c r="F28" s="69"/>
      <c r="G28" s="69"/>
      <c r="H28" s="69"/>
      <c r="I28" s="38"/>
    </row>
    <row r="29" spans="2:9" ht="15" customHeight="1" x14ac:dyDescent="0.25">
      <c r="B29" s="1" t="s">
        <v>50</v>
      </c>
      <c r="D29" s="57">
        <f t="shared" ref="D29:I29" si="5">IF(ISERR((D19-D10)/(D9)),0,(D19-D10)/D9)</f>
        <v>5200</v>
      </c>
      <c r="E29" s="57">
        <f t="shared" si="5"/>
        <v>2500</v>
      </c>
      <c r="F29" s="57">
        <f t="shared" si="5"/>
        <v>0</v>
      </c>
      <c r="G29" s="57">
        <f t="shared" si="5"/>
        <v>0</v>
      </c>
      <c r="H29" s="57">
        <f t="shared" si="5"/>
        <v>0</v>
      </c>
      <c r="I29" s="67">
        <f t="shared" si="5"/>
        <v>3850</v>
      </c>
    </row>
    <row r="30" spans="2:9" ht="15" customHeight="1" x14ac:dyDescent="0.25">
      <c r="B30" s="1" t="s">
        <v>34</v>
      </c>
      <c r="D30" s="47">
        <f>IF(ISERR((D21+D20)/(D7*D12*D13)),0,(D21+D20)/(D7*D12*D13))</f>
        <v>5.4999999999999997E-3</v>
      </c>
      <c r="E30" s="47">
        <f>IF(ISERR((E21+E20)/(E7*E12*E13)),0,(E21+E20)/(E7*E12*E13))</f>
        <v>0.01</v>
      </c>
      <c r="F30" s="47">
        <f>IF(ISERR((F21+F20)/(F7*F12*F13)),0,(F21+F20)/(F7*F12*F13))</f>
        <v>0</v>
      </c>
      <c r="G30" s="47">
        <f>IF(ISERR((G21+G20)/(G7*G12*G13)),0,(G21+G20)/(G7*G12*G13))</f>
        <v>0</v>
      </c>
      <c r="H30" s="47">
        <f>IF(ISERR((H21+H20)/(H7*H12*H13)),0,(H21+H20)/(H7*H12*H13))</f>
        <v>0</v>
      </c>
      <c r="I30" s="65" t="s">
        <v>9</v>
      </c>
    </row>
    <row r="31" spans="2:9" ht="15" customHeight="1" x14ac:dyDescent="0.25">
      <c r="B31" s="1" t="s">
        <v>38</v>
      </c>
      <c r="D31" s="54">
        <f>IF(ISERR((D21+D20)/(D7*D11*D13)),0,(D21+D20)/(D7*D11*D13))</f>
        <v>0.11</v>
      </c>
      <c r="E31" s="54">
        <f>IF(ISERR((E21+E20)/(E7*E11*E13)),0,(E21+E20)/(E7*E11*E13))</f>
        <v>7.4999999999999997E-2</v>
      </c>
      <c r="F31" s="54">
        <f>IF(ISERR((F21+F20)/(F7*F11*F13)),0,(F21+F20)/(F7*F11*F13))</f>
        <v>0</v>
      </c>
      <c r="G31" s="54">
        <f>IF(ISERR((G21+G20)/(G7*G11*G13)),0,(G21+G20)/(G7*G11*G13))</f>
        <v>0</v>
      </c>
      <c r="H31" s="54">
        <f>IF(ISERR((H21+H20)/(H7*H11*H13)),0,(H21+H20)/(H7*H11*H13))</f>
        <v>0</v>
      </c>
      <c r="I31" s="65" t="s">
        <v>9</v>
      </c>
    </row>
    <row r="32" spans="2:9" ht="15" customHeight="1" x14ac:dyDescent="0.25">
      <c r="B32" s="24" t="s">
        <v>39</v>
      </c>
      <c r="C32" s="3"/>
      <c r="D32" s="51">
        <f>IF(ISERR((D21+D20)/(D7*D11*D12)),0,(D21+D20)/(D7*D11*D12))</f>
        <v>82.5</v>
      </c>
      <c r="E32" s="51">
        <f>IF(ISERR((E21+E20)/(E7*E11*E12)),0,(E21+E20)/(E7*E11*E12))</f>
        <v>50</v>
      </c>
      <c r="F32" s="51">
        <f>IF(ISERR((F21+F20)/(F7*F11*F12)),0,(F21+F20)/(F7*F11*F12))</f>
        <v>0</v>
      </c>
      <c r="G32" s="51">
        <f>IF(ISERR((G21+G20)/(G7*G11*G12)),0,(G21+G20)/(G7*G11*G12))</f>
        <v>0</v>
      </c>
      <c r="H32" s="51">
        <f>IF(ISERR((H21+H20)/(H7*H11*H12)),0,(H21+H20)/(H7*H11*H12))</f>
        <v>0</v>
      </c>
      <c r="I32" s="68" t="s">
        <v>9</v>
      </c>
    </row>
    <row r="34" spans="4:4" x14ac:dyDescent="0.25">
      <c r="D34" s="117"/>
    </row>
    <row r="35" spans="4:4" x14ac:dyDescent="0.25">
      <c r="D35" s="117"/>
    </row>
  </sheetData>
  <mergeCells count="1">
    <mergeCell ref="D34:D35"/>
  </mergeCells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F35"/>
  <sheetViews>
    <sheetView showGridLines="0" zoomScale="95" zoomScaleNormal="95" workbookViewId="0"/>
  </sheetViews>
  <sheetFormatPr defaultRowHeight="12.5" x14ac:dyDescent="0.25"/>
  <cols>
    <col min="1" max="1" width="4.54296875" customWidth="1"/>
    <col min="2" max="2" width="21.26953125" customWidth="1"/>
    <col min="3" max="3" width="35.26953125" customWidth="1"/>
    <col min="4" max="4" width="13.81640625" customWidth="1"/>
    <col min="5" max="5" width="16.81640625" customWidth="1"/>
    <col min="6" max="6" width="16.26953125" customWidth="1"/>
  </cols>
  <sheetData>
    <row r="1" spans="1:5" x14ac:dyDescent="0.25">
      <c r="A1" s="100" t="s">
        <v>106</v>
      </c>
    </row>
    <row r="4" spans="1:5" ht="17.5" x14ac:dyDescent="0.35">
      <c r="B4" s="11" t="s">
        <v>40</v>
      </c>
    </row>
    <row r="5" spans="1:5" ht="14" x14ac:dyDescent="0.3">
      <c r="B5" s="6" t="s">
        <v>3</v>
      </c>
    </row>
    <row r="6" spans="1:5" ht="15.5" x14ac:dyDescent="0.35">
      <c r="B6" s="107"/>
      <c r="C6" s="104" t="s">
        <v>1</v>
      </c>
      <c r="D6" s="105" t="s">
        <v>28</v>
      </c>
      <c r="E6" s="106" t="s">
        <v>29</v>
      </c>
    </row>
    <row r="7" spans="1:5" ht="15" customHeight="1" x14ac:dyDescent="0.25">
      <c r="B7" s="1" t="s">
        <v>26</v>
      </c>
      <c r="D7" s="9">
        <v>10000</v>
      </c>
      <c r="E7" s="16">
        <v>100000</v>
      </c>
    </row>
    <row r="8" spans="1:5" ht="15" customHeight="1" x14ac:dyDescent="0.25">
      <c r="B8" s="1" t="s">
        <v>27</v>
      </c>
      <c r="D8" s="4">
        <v>0.35</v>
      </c>
      <c r="E8" s="42">
        <v>0.02</v>
      </c>
    </row>
    <row r="9" spans="1:5" ht="15" customHeight="1" x14ac:dyDescent="0.25">
      <c r="B9" s="1" t="s">
        <v>30</v>
      </c>
      <c r="D9" s="8">
        <v>0.3</v>
      </c>
      <c r="E9" s="17">
        <v>0.2</v>
      </c>
    </row>
    <row r="10" spans="1:5" ht="15" customHeight="1" x14ac:dyDescent="0.25">
      <c r="B10" s="1" t="s">
        <v>32</v>
      </c>
      <c r="D10" s="41" t="s">
        <v>9</v>
      </c>
      <c r="E10" s="17">
        <v>0.1</v>
      </c>
    </row>
    <row r="11" spans="1:5" ht="15" customHeight="1" x14ac:dyDescent="0.25">
      <c r="B11" s="110" t="s">
        <v>129</v>
      </c>
      <c r="D11" s="8">
        <v>7.0000000000000007E-2</v>
      </c>
      <c r="E11" s="17">
        <v>7.0000000000000007E-2</v>
      </c>
    </row>
    <row r="12" spans="1:5" ht="15" customHeight="1" x14ac:dyDescent="0.25">
      <c r="B12" s="1" t="s">
        <v>33</v>
      </c>
      <c r="D12" s="8">
        <v>0.2</v>
      </c>
      <c r="E12" s="17">
        <v>0.15</v>
      </c>
    </row>
    <row r="13" spans="1:5" ht="15" customHeight="1" x14ac:dyDescent="0.25">
      <c r="B13" s="24" t="s">
        <v>21</v>
      </c>
      <c r="C13" s="3"/>
      <c r="D13" s="12">
        <v>150</v>
      </c>
      <c r="E13" s="20">
        <v>150</v>
      </c>
    </row>
    <row r="15" spans="1:5" ht="15.5" x14ac:dyDescent="0.35">
      <c r="B15" s="107"/>
      <c r="C15" s="104" t="s">
        <v>2</v>
      </c>
      <c r="D15" s="105" t="s">
        <v>28</v>
      </c>
      <c r="E15" s="106" t="s">
        <v>29</v>
      </c>
    </row>
    <row r="16" spans="1:5" ht="15" customHeight="1" x14ac:dyDescent="0.25">
      <c r="B16" s="1" t="s">
        <v>15</v>
      </c>
      <c r="D16" s="56" t="s">
        <v>9</v>
      </c>
      <c r="E16" s="21">
        <f>+E7*E9*E10</f>
        <v>2000</v>
      </c>
    </row>
    <row r="17" spans="2:6" ht="15" customHeight="1" x14ac:dyDescent="0.25">
      <c r="B17" s="1" t="s">
        <v>11</v>
      </c>
      <c r="D17">
        <f>+D7*D9*D11</f>
        <v>210.00000000000003</v>
      </c>
      <c r="E17" s="2">
        <f>+E16*E11</f>
        <v>140</v>
      </c>
    </row>
    <row r="18" spans="2:6" ht="15" customHeight="1" x14ac:dyDescent="0.25">
      <c r="B18" s="1" t="s">
        <v>24</v>
      </c>
      <c r="D18">
        <f>+D17*D12</f>
        <v>42.000000000000007</v>
      </c>
      <c r="E18" s="2">
        <f>+E17*E12</f>
        <v>21</v>
      </c>
    </row>
    <row r="19" spans="2:6" ht="7.5" customHeight="1" x14ac:dyDescent="0.25">
      <c r="B19" s="1"/>
      <c r="E19" s="2"/>
    </row>
    <row r="20" spans="2:6" ht="15" customHeight="1" x14ac:dyDescent="0.25">
      <c r="B20" s="39" t="s">
        <v>22</v>
      </c>
      <c r="C20" s="14"/>
      <c r="D20" s="32">
        <f>+D18*D13</f>
        <v>6300.0000000000009</v>
      </c>
      <c r="E20" s="33">
        <f>+E18*E13</f>
        <v>3150</v>
      </c>
      <c r="F20" s="37"/>
    </row>
    <row r="21" spans="2:6" ht="15" customHeight="1" x14ac:dyDescent="0.25">
      <c r="B21" s="40" t="s">
        <v>23</v>
      </c>
      <c r="C21" s="14"/>
      <c r="D21" s="25">
        <f>+D7*D8</f>
        <v>3500</v>
      </c>
      <c r="E21" s="26">
        <f>E7*E8</f>
        <v>2000</v>
      </c>
    </row>
    <row r="22" spans="2:6" ht="15" customHeight="1" x14ac:dyDescent="0.3">
      <c r="B22" s="29" t="s">
        <v>25</v>
      </c>
      <c r="C22" s="13"/>
      <c r="D22" s="27">
        <f>+D20-D21</f>
        <v>2800.0000000000009</v>
      </c>
      <c r="E22" s="28">
        <f>+E20-E21</f>
        <v>1150</v>
      </c>
    </row>
    <row r="23" spans="2:6" ht="15" customHeight="1" x14ac:dyDescent="0.3">
      <c r="B23" s="29" t="s">
        <v>0</v>
      </c>
      <c r="C23" s="13"/>
      <c r="D23" s="30">
        <f>+D22/D21</f>
        <v>0.80000000000000027</v>
      </c>
      <c r="E23" s="31">
        <f>+E22/E21</f>
        <v>0.57499999999999996</v>
      </c>
    </row>
    <row r="24" spans="2:6" ht="7.5" customHeight="1" x14ac:dyDescent="0.25">
      <c r="B24" s="22"/>
      <c r="D24" s="7"/>
      <c r="E24" s="38"/>
    </row>
    <row r="25" spans="2:6" ht="15" customHeight="1" x14ac:dyDescent="0.25">
      <c r="B25" s="1" t="s">
        <v>8</v>
      </c>
      <c r="D25" s="35" t="s">
        <v>9</v>
      </c>
      <c r="E25" s="38">
        <f>E21/((E7*E9)/1000)</f>
        <v>100</v>
      </c>
    </row>
    <row r="26" spans="2:6" ht="15" customHeight="1" x14ac:dyDescent="0.25">
      <c r="B26" s="1" t="s">
        <v>19</v>
      </c>
      <c r="D26" s="35" t="s">
        <v>9</v>
      </c>
      <c r="E26" s="38">
        <f>+E21/E16</f>
        <v>1</v>
      </c>
    </row>
    <row r="27" spans="2:6" ht="15" customHeight="1" x14ac:dyDescent="0.25">
      <c r="B27" s="1" t="s">
        <v>12</v>
      </c>
      <c r="D27" s="7">
        <f>+D21/D17</f>
        <v>16.666666666666664</v>
      </c>
      <c r="E27" s="38">
        <f>+E21/E17</f>
        <v>14.285714285714286</v>
      </c>
    </row>
    <row r="28" spans="2:6" ht="15" customHeight="1" x14ac:dyDescent="0.25">
      <c r="B28" s="1" t="s">
        <v>13</v>
      </c>
      <c r="D28" s="7">
        <f>+D21/D18</f>
        <v>83.333333333333314</v>
      </c>
      <c r="E28" s="38">
        <f>+E21/E18</f>
        <v>95.238095238095241</v>
      </c>
    </row>
    <row r="29" spans="2:6" ht="7.5" customHeight="1" x14ac:dyDescent="0.25">
      <c r="B29" s="1"/>
      <c r="D29" s="7"/>
      <c r="E29" s="38"/>
    </row>
    <row r="30" spans="2:6" ht="15" customHeight="1" x14ac:dyDescent="0.25">
      <c r="B30" s="1" t="s">
        <v>35</v>
      </c>
      <c r="D30" s="44">
        <f>D20/D7</f>
        <v>0.63000000000000012</v>
      </c>
      <c r="E30" s="53">
        <f>E20/E7</f>
        <v>3.15E-2</v>
      </c>
    </row>
    <row r="31" spans="2:6" ht="15" customHeight="1" x14ac:dyDescent="0.25">
      <c r="B31" s="1" t="s">
        <v>36</v>
      </c>
      <c r="D31" s="45">
        <f>+D21/(D7*D11*D12*D13)</f>
        <v>0.16666666666666663</v>
      </c>
      <c r="E31" s="50">
        <f>+E21/(E7*E10*E11*E12*E13)</f>
        <v>0.12698412698412698</v>
      </c>
    </row>
    <row r="32" spans="2:6" ht="15" customHeight="1" x14ac:dyDescent="0.25">
      <c r="B32" s="1" t="s">
        <v>37</v>
      </c>
      <c r="D32" s="35" t="s">
        <v>9</v>
      </c>
      <c r="E32" s="49">
        <f>E21/(E11*E12*E13*E7)</f>
        <v>1.2698412698412697E-2</v>
      </c>
    </row>
    <row r="33" spans="2:5" ht="15" customHeight="1" x14ac:dyDescent="0.25">
      <c r="B33" s="1" t="s">
        <v>34</v>
      </c>
      <c r="D33" s="47">
        <f>D21/(D7*D9*D12*D13)</f>
        <v>3.888888888888889E-2</v>
      </c>
      <c r="E33" s="49">
        <f>E21/(E7*E9*E10*E12*E13)</f>
        <v>4.4444444444444446E-2</v>
      </c>
    </row>
    <row r="34" spans="2:5" ht="15" customHeight="1" x14ac:dyDescent="0.25">
      <c r="B34" s="1" t="s">
        <v>38</v>
      </c>
      <c r="D34" s="46">
        <f>D21/(D7*D9*D11*D13)</f>
        <v>0.1111111111111111</v>
      </c>
      <c r="E34" s="50">
        <f>E21/(E7*E9*E10*E11*E13)</f>
        <v>9.5238095238095233E-2</v>
      </c>
    </row>
    <row r="35" spans="2:5" ht="15" customHeight="1" x14ac:dyDescent="0.25">
      <c r="B35" s="24" t="s">
        <v>39</v>
      </c>
      <c r="C35" s="3"/>
      <c r="D35" s="51">
        <f>D21/(D7*D9*D11*D12)</f>
        <v>83.333333333333314</v>
      </c>
      <c r="E35" s="52">
        <f>E21/(E7*E9*E10*E11*E12)</f>
        <v>95.238095238095241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F34"/>
  <sheetViews>
    <sheetView showGridLines="0" zoomScale="95" zoomScaleNormal="95" workbookViewId="0"/>
  </sheetViews>
  <sheetFormatPr defaultRowHeight="12.5" x14ac:dyDescent="0.25"/>
  <cols>
    <col min="1" max="1" width="4.54296875" customWidth="1"/>
    <col min="2" max="2" width="21.26953125" customWidth="1"/>
    <col min="3" max="3" width="23.1796875" customWidth="1"/>
    <col min="4" max="4" width="15" customWidth="1"/>
    <col min="5" max="5" width="16.81640625" customWidth="1"/>
    <col min="6" max="6" width="16.26953125" customWidth="1"/>
  </cols>
  <sheetData>
    <row r="1" spans="1:5" x14ac:dyDescent="0.25">
      <c r="A1" s="100" t="s">
        <v>106</v>
      </c>
    </row>
    <row r="4" spans="1:5" ht="17.5" x14ac:dyDescent="0.35">
      <c r="B4" s="11" t="s">
        <v>14</v>
      </c>
    </row>
    <row r="5" spans="1:5" ht="14" x14ac:dyDescent="0.3">
      <c r="B5" s="6" t="s">
        <v>3</v>
      </c>
    </row>
    <row r="6" spans="1:5" ht="15.5" x14ac:dyDescent="0.35">
      <c r="B6" s="104" t="s">
        <v>1</v>
      </c>
      <c r="C6" s="104"/>
      <c r="D6" s="105" t="s">
        <v>6</v>
      </c>
      <c r="E6" s="106" t="s">
        <v>7</v>
      </c>
    </row>
    <row r="7" spans="1:5" ht="15" customHeight="1" x14ac:dyDescent="0.25">
      <c r="B7" s="1" t="s">
        <v>5</v>
      </c>
      <c r="D7" s="9">
        <v>40000</v>
      </c>
      <c r="E7" s="16">
        <v>90000</v>
      </c>
    </row>
    <row r="8" spans="1:5" ht="15" customHeight="1" x14ac:dyDescent="0.25">
      <c r="B8" s="1" t="s">
        <v>16</v>
      </c>
      <c r="D8" s="8">
        <v>2.5000000000000001E-2</v>
      </c>
      <c r="E8" s="17">
        <v>1.4999999999999999E-2</v>
      </c>
    </row>
    <row r="9" spans="1:5" ht="15" customHeight="1" x14ac:dyDescent="0.25">
      <c r="B9" s="1" t="s">
        <v>19</v>
      </c>
      <c r="D9" s="4">
        <v>0.75</v>
      </c>
      <c r="E9" s="18" t="s">
        <v>9</v>
      </c>
    </row>
    <row r="10" spans="1:5" ht="15" customHeight="1" x14ac:dyDescent="0.25">
      <c r="B10" s="1" t="s">
        <v>8</v>
      </c>
      <c r="D10" s="10" t="s">
        <v>9</v>
      </c>
      <c r="E10" s="19">
        <v>10</v>
      </c>
    </row>
    <row r="11" spans="1:5" ht="15" customHeight="1" x14ac:dyDescent="0.25">
      <c r="B11" s="1" t="s">
        <v>31</v>
      </c>
      <c r="D11" s="8">
        <v>7.0000000000000007E-2</v>
      </c>
      <c r="E11" s="17">
        <v>7.0000000000000007E-2</v>
      </c>
    </row>
    <row r="12" spans="1:5" ht="15" customHeight="1" x14ac:dyDescent="0.25">
      <c r="B12" s="1" t="s">
        <v>10</v>
      </c>
      <c r="D12" s="8">
        <v>0.1</v>
      </c>
      <c r="E12" s="17">
        <v>0.1</v>
      </c>
    </row>
    <row r="13" spans="1:5" ht="15" customHeight="1" x14ac:dyDescent="0.25">
      <c r="B13" s="24" t="s">
        <v>21</v>
      </c>
      <c r="C13" s="3"/>
      <c r="D13" s="12">
        <v>150</v>
      </c>
      <c r="E13" s="20">
        <v>150</v>
      </c>
    </row>
    <row r="14" spans="1:5" ht="24" customHeight="1" x14ac:dyDescent="0.25"/>
    <row r="15" spans="1:5" ht="15.5" x14ac:dyDescent="0.35">
      <c r="B15" s="104" t="s">
        <v>2</v>
      </c>
      <c r="C15" s="104"/>
      <c r="D15" s="105" t="s">
        <v>6</v>
      </c>
      <c r="E15" s="106" t="s">
        <v>7</v>
      </c>
    </row>
    <row r="16" spans="1:5" ht="15" customHeight="1" x14ac:dyDescent="0.25">
      <c r="B16" s="1" t="s">
        <v>15</v>
      </c>
      <c r="D16" s="15">
        <f>+D7*D8</f>
        <v>1000</v>
      </c>
      <c r="E16" s="21">
        <f>+E7*E8</f>
        <v>1350</v>
      </c>
    </row>
    <row r="17" spans="2:6" ht="15" customHeight="1" x14ac:dyDescent="0.25">
      <c r="B17" s="1" t="s">
        <v>11</v>
      </c>
      <c r="D17">
        <f>+D16*D11</f>
        <v>70</v>
      </c>
      <c r="E17" s="2">
        <f>+E16*E11</f>
        <v>94.500000000000014</v>
      </c>
    </row>
    <row r="18" spans="2:6" ht="15" customHeight="1" x14ac:dyDescent="0.25">
      <c r="B18" s="1" t="s">
        <v>24</v>
      </c>
      <c r="D18">
        <f>+D17*D12</f>
        <v>7</v>
      </c>
      <c r="E18" s="2">
        <f>+E17*E12</f>
        <v>9.4500000000000011</v>
      </c>
    </row>
    <row r="19" spans="2:6" ht="7.5" customHeight="1" x14ac:dyDescent="0.25">
      <c r="B19" s="1"/>
      <c r="E19" s="2"/>
    </row>
    <row r="20" spans="2:6" ht="15" customHeight="1" x14ac:dyDescent="0.25">
      <c r="B20" s="39" t="s">
        <v>22</v>
      </c>
      <c r="C20" s="14"/>
      <c r="D20" s="32">
        <f>+D18*D13</f>
        <v>1050</v>
      </c>
      <c r="E20" s="33">
        <f>+E18*E13</f>
        <v>1417.5000000000002</v>
      </c>
      <c r="F20" s="34"/>
    </row>
    <row r="21" spans="2:6" ht="15" customHeight="1" x14ac:dyDescent="0.25">
      <c r="B21" s="40" t="s">
        <v>23</v>
      </c>
      <c r="C21" s="14"/>
      <c r="D21" s="25">
        <f>D7*D8*D9</f>
        <v>750</v>
      </c>
      <c r="E21" s="26">
        <f>E10*(E7/1000)</f>
        <v>900</v>
      </c>
    </row>
    <row r="22" spans="2:6" ht="15" customHeight="1" x14ac:dyDescent="0.3">
      <c r="B22" s="29" t="s">
        <v>25</v>
      </c>
      <c r="C22" s="13"/>
      <c r="D22" s="27">
        <f>+D20-D21</f>
        <v>300</v>
      </c>
      <c r="E22" s="28">
        <f>+E20-E21</f>
        <v>517.50000000000023</v>
      </c>
    </row>
    <row r="23" spans="2:6" ht="15" customHeight="1" x14ac:dyDescent="0.3">
      <c r="B23" s="29" t="s">
        <v>0</v>
      </c>
      <c r="C23" s="13"/>
      <c r="D23" s="30">
        <f>+D22/D21</f>
        <v>0.4</v>
      </c>
      <c r="E23" s="31">
        <f>+E22/E21</f>
        <v>0.57500000000000029</v>
      </c>
    </row>
    <row r="24" spans="2:6" ht="8.25" customHeight="1" x14ac:dyDescent="0.25">
      <c r="B24" s="22"/>
      <c r="D24" s="5"/>
      <c r="E24" s="23"/>
    </row>
    <row r="25" spans="2:6" ht="15" customHeight="1" x14ac:dyDescent="0.25">
      <c r="B25" s="1" t="s">
        <v>8</v>
      </c>
      <c r="D25" s="5">
        <f>+D21/(D7/1000)</f>
        <v>18.75</v>
      </c>
      <c r="E25" s="23">
        <f>+E10</f>
        <v>10</v>
      </c>
    </row>
    <row r="26" spans="2:6" ht="15" customHeight="1" x14ac:dyDescent="0.25">
      <c r="B26" s="1" t="s">
        <v>19</v>
      </c>
      <c r="D26" s="5">
        <f>+D21/D16</f>
        <v>0.75</v>
      </c>
      <c r="E26" s="23">
        <f>+E21/E16</f>
        <v>0.66666666666666663</v>
      </c>
    </row>
    <row r="27" spans="2:6" ht="15" customHeight="1" x14ac:dyDescent="0.25">
      <c r="B27" s="1" t="s">
        <v>12</v>
      </c>
      <c r="D27" s="5">
        <f>+D21/D17</f>
        <v>10.714285714285714</v>
      </c>
      <c r="E27" s="23">
        <f>+E21/E17</f>
        <v>9.5238095238095219</v>
      </c>
    </row>
    <row r="28" spans="2:6" ht="15" customHeight="1" x14ac:dyDescent="0.25">
      <c r="B28" s="1" t="s">
        <v>13</v>
      </c>
      <c r="D28" s="5">
        <f>+D21/D18</f>
        <v>107.14285714285714</v>
      </c>
      <c r="E28" s="23">
        <f>+E21/E18</f>
        <v>95.238095238095227</v>
      </c>
    </row>
    <row r="29" spans="2:6" ht="9" customHeight="1" x14ac:dyDescent="0.25">
      <c r="B29" s="1"/>
      <c r="D29" s="5"/>
      <c r="E29" s="23"/>
    </row>
    <row r="30" spans="2:6" ht="15" customHeight="1" x14ac:dyDescent="0.25">
      <c r="B30" s="1" t="s">
        <v>20</v>
      </c>
      <c r="D30" s="5">
        <f>+D20/(D7*D8)</f>
        <v>1.05</v>
      </c>
      <c r="E30" s="18" t="s">
        <v>9</v>
      </c>
    </row>
    <row r="31" spans="2:6" ht="15" customHeight="1" x14ac:dyDescent="0.25">
      <c r="B31" s="1" t="s">
        <v>17</v>
      </c>
      <c r="D31" s="43" t="s">
        <v>9</v>
      </c>
      <c r="E31" s="48">
        <f>E21/(E11*E12*E13*E7)</f>
        <v>9.5238095238095247E-3</v>
      </c>
    </row>
    <row r="32" spans="2:6" ht="15" customHeight="1" x14ac:dyDescent="0.25">
      <c r="B32" s="1" t="s">
        <v>34</v>
      </c>
      <c r="D32" s="47">
        <f>D21/(D7*D8*D12*D13)</f>
        <v>0.05</v>
      </c>
      <c r="E32" s="49">
        <f>E21/(E7*E8*E12*E13)</f>
        <v>4.4444444444444446E-2</v>
      </c>
    </row>
    <row r="33" spans="2:5" ht="15" customHeight="1" x14ac:dyDescent="0.25">
      <c r="B33" s="1" t="s">
        <v>38</v>
      </c>
      <c r="D33" s="46">
        <f>D21/(D7*D8*D11*D13)</f>
        <v>7.1428571428571425E-2</v>
      </c>
      <c r="E33" s="50">
        <f>E21/(E7*E8*E11*E13)</f>
        <v>6.3492063492063489E-2</v>
      </c>
    </row>
    <row r="34" spans="2:5" ht="15" customHeight="1" x14ac:dyDescent="0.25">
      <c r="B34" s="24" t="s">
        <v>39</v>
      </c>
      <c r="C34" s="3"/>
      <c r="D34" s="51">
        <f>D21/(D7*D8*D11*D12)</f>
        <v>107.14285714285714</v>
      </c>
      <c r="E34" s="52">
        <f>E21/(E7*E8*E11*E12)</f>
        <v>95.238095238095227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Generic Plan</vt:lpstr>
      <vt:lpstr>SummaryofTabs</vt:lpstr>
      <vt:lpstr>Branding</vt:lpstr>
      <vt:lpstr>Print, Radio, &amp; TV</vt:lpstr>
      <vt:lpstr>Mail &amp; eMail</vt:lpstr>
      <vt:lpstr>PayPerClick &amp; Banner</vt:lpstr>
    </vt:vector>
  </TitlesOfParts>
  <Company>ABSC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Wilson</dc:creator>
  <cp:lastModifiedBy>Marshall, Bradley C.</cp:lastModifiedBy>
  <cp:lastPrinted>2004-04-27T20:11:04Z</cp:lastPrinted>
  <dcterms:created xsi:type="dcterms:W3CDTF">2004-04-27T01:21:09Z</dcterms:created>
  <dcterms:modified xsi:type="dcterms:W3CDTF">2026-03-22T14:37:07Z</dcterms:modified>
</cp:coreProperties>
</file>